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0455" windowHeight="7845" tabRatio="835" activeTab="0"/>
  </bookViews>
  <sheets>
    <sheet name="Exit Signs Calculator" sheetId="1" r:id="rId1"/>
    <sheet name="Assumptions" sheetId="2" r:id="rId2"/>
  </sheets>
  <definedNames>
    <definedName name="_xlnm.Print_Area" localSheetId="1">'Assumptions'!$A$1:$D$44</definedName>
    <definedName name="_xlnm.Print_Area" localSheetId="0">'Exit Signs Calculator'!$A$1:$M$44</definedName>
    <definedName name="Z_554B346B_D9D9_422D_B737_63DDCB95BB09_.wvu.PrintArea" localSheetId="1" hidden="1">'Assumptions'!$A$1:$D$44</definedName>
    <definedName name="Z_554B346B_D9D9_422D_B737_63DDCB95BB09_.wvu.PrintArea" localSheetId="0" hidden="1">'Exit Signs Calculator'!$A$1:$M$44</definedName>
  </definedNames>
  <calcPr fullCalcOnLoad="1"/>
</workbook>
</file>

<file path=xl/sharedStrings.xml><?xml version="1.0" encoding="utf-8"?>
<sst xmlns="http://schemas.openxmlformats.org/spreadsheetml/2006/main" count="113" uniqueCount="78">
  <si>
    <t>Enter your own values in the gray boxes or use our default values.</t>
  </si>
  <si>
    <t>Initial cost per unit (estimated retail price)</t>
  </si>
  <si>
    <t>Energy cost</t>
  </si>
  <si>
    <t>Maintenance cost</t>
  </si>
  <si>
    <t>Total</t>
  </si>
  <si>
    <t xml:space="preserve"> </t>
  </si>
  <si>
    <t>Net life cycle savings (life cycle savings - additional cost)</t>
  </si>
  <si>
    <t>Life cycle energy saved (kWh)</t>
  </si>
  <si>
    <r>
      <t>Life cycle air pollution reduction (lbs of CO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)</t>
    </r>
  </si>
  <si>
    <t>Category</t>
  </si>
  <si>
    <t>Value</t>
  </si>
  <si>
    <t>Data Source</t>
  </si>
  <si>
    <t>Maintenance</t>
  </si>
  <si>
    <t>Discount Rate</t>
  </si>
  <si>
    <t>A real discount rate of 4 percent is assumed, which is roughly equivalent to the nominal discount rate of 7 percent (4 percent real discount rate + 3 percent inflation rate).</t>
  </si>
  <si>
    <t>Energy Prices</t>
  </si>
  <si>
    <t>Carbon Emissions Factors</t>
  </si>
  <si>
    <t>Number of lamps per sign</t>
  </si>
  <si>
    <t>Cost per replacement lamp</t>
  </si>
  <si>
    <t>Operating cost (energy and maintenance)</t>
  </si>
  <si>
    <t>Assumptions for Exit Signs</t>
  </si>
  <si>
    <t>Commercial Electricity Price</t>
  </si>
  <si>
    <t>Electricity Carbon Emission Factor</t>
  </si>
  <si>
    <t>Installation time per lamp</t>
  </si>
  <si>
    <t>LED</t>
  </si>
  <si>
    <t>Incandescent</t>
  </si>
  <si>
    <t>Type</t>
  </si>
  <si>
    <t>Number of exit signs</t>
  </si>
  <si>
    <t>This calculator was developed by the U.S. EPA and U.S. DOE and is provided for estimating purposes only.  Actual savings may vary.</t>
  </si>
  <si>
    <t>Option A</t>
  </si>
  <si>
    <t>Option B</t>
  </si>
  <si>
    <t>Cost Difference</t>
  </si>
  <si>
    <t>Wattage</t>
  </si>
  <si>
    <t>W</t>
  </si>
  <si>
    <t>Replacement lamp cost</t>
  </si>
  <si>
    <t>Annual lamp replacment cost</t>
  </si>
  <si>
    <t>Calculations for Selected Types</t>
  </si>
  <si>
    <t>Sign wattage</t>
  </si>
  <si>
    <t>Annual energy consumption</t>
  </si>
  <si>
    <t>kWh</t>
  </si>
  <si>
    <t>Lamp lifetime</t>
  </si>
  <si>
    <t>year</t>
  </si>
  <si>
    <t>/hour</t>
  </si>
  <si>
    <t>Hourly labor cost</t>
  </si>
  <si>
    <t>hour</t>
  </si>
  <si>
    <t>Discount rate</t>
  </si>
  <si>
    <r>
      <t>lbs CO</t>
    </r>
    <r>
      <rPr>
        <vertAlign val="subscript"/>
        <sz val="9"/>
        <rFont val="univers"/>
        <family val="0"/>
      </rPr>
      <t>2</t>
    </r>
    <r>
      <rPr>
        <sz val="9"/>
        <rFont val="Univers"/>
        <family val="0"/>
      </rPr>
      <t>/kWh</t>
    </r>
  </si>
  <si>
    <r>
      <t>CO</t>
    </r>
    <r>
      <rPr>
        <b/>
        <vertAlign val="subscript"/>
        <sz val="9"/>
        <rFont val="univers"/>
        <family val="0"/>
      </rPr>
      <t>2</t>
    </r>
    <r>
      <rPr>
        <b/>
        <sz val="9"/>
        <rFont val="univers"/>
        <family val="0"/>
      </rPr>
      <t xml:space="preserve"> Equivalents</t>
    </r>
  </si>
  <si>
    <t>estimate</t>
  </si>
  <si>
    <t>Annual labor cost</t>
  </si>
  <si>
    <t>Type of exit sign</t>
  </si>
  <si>
    <t>Electricity rate ($/kWh)</t>
  </si>
  <si>
    <t>Life cycle air pollution reduction equivalence (number of cars removed from the road for a year)</t>
  </si>
  <si>
    <r>
      <t>Simple payback of initial additional cost for Option B (years)</t>
    </r>
    <r>
      <rPr>
        <vertAlign val="superscript"/>
        <sz val="10"/>
        <rFont val="Univers"/>
        <family val="2"/>
      </rPr>
      <t>†</t>
    </r>
    <r>
      <rPr>
        <sz val="10"/>
        <rFont val="Univers"/>
        <family val="2"/>
      </rPr>
      <t xml:space="preserve">  </t>
    </r>
  </si>
  <si>
    <t>average for available products</t>
  </si>
  <si>
    <t>calculated</t>
  </si>
  <si>
    <t>this type of sign consumes no electricity</t>
  </si>
  <si>
    <r>
      <t>†</t>
    </r>
    <r>
      <rPr>
        <i/>
        <sz val="9"/>
        <rFont val="Univers"/>
        <family val="0"/>
      </rPr>
      <t xml:space="preserve"> A simple payback period of zero years means that the payback is immediate.</t>
    </r>
  </si>
  <si>
    <t>Exit sign lifetime</t>
  </si>
  <si>
    <t>years</t>
  </si>
  <si>
    <t>Life Cycle Costs *</t>
  </si>
  <si>
    <t>Simple payback of additional cost for Option B (years)</t>
  </si>
  <si>
    <t>Initial incremental cost for Option B</t>
  </si>
  <si>
    <t>Photoluminescent</t>
  </si>
  <si>
    <t>Radioluminescent / Self-luminous</t>
  </si>
  <si>
    <t>Incandescent exit signs are no longer sold so it is assumed that are already installed, making the default cost $0</t>
  </si>
  <si>
    <r>
      <t>*</t>
    </r>
    <r>
      <rPr>
        <vertAlign val="superscript"/>
        <sz val="9"/>
        <rFont val="Univers"/>
        <family val="0"/>
      </rPr>
      <t xml:space="preserve"> </t>
    </r>
    <r>
      <rPr>
        <i/>
        <sz val="9"/>
        <rFont val="Univers"/>
        <family val="0"/>
      </rPr>
      <t>Annual costs exclude the initial purchase price. All costs, except initial cost, are discounted over the products' lifetime using a real discount rate of 4%. See "Assumptions" to change factors including the discount rate. Life cycle costs are based on 10 years of operation, which is the minimum lifteime of most available product types.</t>
    </r>
  </si>
  <si>
    <t>Life cycle operating cost difference</t>
  </si>
  <si>
    <t>minimum lifetime for most available types of exit signs</t>
  </si>
  <si>
    <t>If you have questions, comments or suggestions, please write to calculators@energystar.gov</t>
  </si>
  <si>
    <t>$/kWh</t>
  </si>
  <si>
    <r>
      <t>Annual CO</t>
    </r>
    <r>
      <rPr>
        <vertAlign val="subscript"/>
        <sz val="9"/>
        <rFont val="Univers"/>
        <family val="2"/>
      </rPr>
      <t>2</t>
    </r>
    <r>
      <rPr>
        <sz val="9"/>
        <rFont val="Univers"/>
        <family val="2"/>
      </rPr>
      <t xml:space="preserve"> emissions per average passenger car</t>
    </r>
  </si>
  <si>
    <r>
      <t>lbs CO</t>
    </r>
    <r>
      <rPr>
        <vertAlign val="subscript"/>
        <sz val="9"/>
        <rFont val="Univers"/>
        <family val="2"/>
      </rPr>
      <t>2</t>
    </r>
    <r>
      <rPr>
        <sz val="9"/>
        <rFont val="Univers"/>
        <family val="2"/>
      </rPr>
      <t>/yr</t>
    </r>
  </si>
  <si>
    <t>Calculator last updated April 2009, utility and emission rates updated September 2014</t>
  </si>
  <si>
    <t>EPA 2014</t>
  </si>
  <si>
    <t>US Department of Energy, Annual Energy Outlook 2014 (Early Release edition), (converted from 2012 to 2013 dollars)</t>
  </si>
  <si>
    <t>EPA Greenhouse Gas Equivalencies Calculator, 2014</t>
  </si>
  <si>
    <t>10,471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</si>
</sst>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.000_);[Red]\(&quot;$&quot;#,##0.000\)"/>
    <numFmt numFmtId="166" formatCode="&quot;$&quot;#,##0;[Red]&quot;$&quot;#,##0"/>
    <numFmt numFmtId="167" formatCode="&quot;$&quot;#,##0"/>
    <numFmt numFmtId="168" formatCode="#,##0.0"/>
    <numFmt numFmtId="169" formatCode="0.0"/>
    <numFmt numFmtId="170" formatCode="_(* #,##0_);_(* \(#,##0\);_(* &quot;-&quot;??_);_(@_)"/>
    <numFmt numFmtId="171" formatCode="&quot;$&quot;#,##0.00"/>
    <numFmt numFmtId="172" formatCode="&quot;$&quot;#,##0.0"/>
    <numFmt numFmtId="173" formatCode="&quot;$&quot;#,##0.000"/>
    <numFmt numFmtId="174" formatCode="0.000"/>
    <numFmt numFmtId="175" formatCode="&quot;$&quot;#,##0.0000"/>
  </numFmts>
  <fonts count="66">
    <font>
      <sz val="10"/>
      <name val="Arial"/>
      <family val="0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Univers"/>
      <family val="2"/>
    </font>
    <font>
      <vertAlign val="subscript"/>
      <sz val="10"/>
      <name val="Univers"/>
      <family val="2"/>
    </font>
    <font>
      <i/>
      <sz val="10"/>
      <name val="Times New Roman"/>
      <family val="1"/>
    </font>
    <font>
      <b/>
      <u val="single"/>
      <sz val="10"/>
      <name val="Univers"/>
      <family val="2"/>
    </font>
    <font>
      <b/>
      <sz val="12"/>
      <name val="univers"/>
      <family val="0"/>
    </font>
    <font>
      <b/>
      <sz val="10"/>
      <name val="univers"/>
      <family val="0"/>
    </font>
    <font>
      <b/>
      <sz val="11"/>
      <name val="univers"/>
      <family val="0"/>
    </font>
    <font>
      <b/>
      <sz val="14"/>
      <color indexed="48"/>
      <name val="Univers"/>
      <family val="0"/>
    </font>
    <font>
      <b/>
      <sz val="12"/>
      <color indexed="48"/>
      <name val="Univers"/>
      <family val="0"/>
    </font>
    <font>
      <b/>
      <u val="single"/>
      <sz val="11"/>
      <name val="Univers"/>
      <family val="0"/>
    </font>
    <font>
      <sz val="9"/>
      <name val="Univers"/>
      <family val="0"/>
    </font>
    <font>
      <vertAlign val="superscript"/>
      <sz val="9"/>
      <name val="Univers"/>
      <family val="0"/>
    </font>
    <font>
      <i/>
      <sz val="9"/>
      <name val="Univers"/>
      <family val="0"/>
    </font>
    <font>
      <b/>
      <sz val="11"/>
      <name val="Univers"/>
      <family val="2"/>
    </font>
    <font>
      <b/>
      <sz val="9"/>
      <name val="univers"/>
      <family val="0"/>
    </font>
    <font>
      <b/>
      <sz val="9"/>
      <color indexed="18"/>
      <name val="univers"/>
      <family val="0"/>
    </font>
    <font>
      <sz val="9"/>
      <color indexed="18"/>
      <name val="univers"/>
      <family val="0"/>
    </font>
    <font>
      <u val="single"/>
      <sz val="9"/>
      <name val="univers"/>
      <family val="0"/>
    </font>
    <font>
      <vertAlign val="subscript"/>
      <sz val="9"/>
      <name val="univers"/>
      <family val="0"/>
    </font>
    <font>
      <b/>
      <vertAlign val="subscript"/>
      <sz val="9"/>
      <name val="univers"/>
      <family val="0"/>
    </font>
    <font>
      <sz val="9"/>
      <color indexed="45"/>
      <name val="Univers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Univers"/>
      <family val="0"/>
    </font>
    <font>
      <vertAlign val="subscript"/>
      <sz val="9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Univer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 indent="2"/>
      <protection/>
    </xf>
    <xf numFmtId="9" fontId="1" fillId="33" borderId="0" xfId="0" applyNumberFormat="1" applyFont="1" applyFill="1" applyBorder="1" applyAlignment="1" applyProtection="1">
      <alignment/>
      <protection locked="0"/>
    </xf>
    <xf numFmtId="166" fontId="1" fillId="33" borderId="0" xfId="0" applyNumberFormat="1" applyFont="1" applyFill="1" applyBorder="1" applyAlignment="1" applyProtection="1">
      <alignment/>
      <protection/>
    </xf>
    <xf numFmtId="166" fontId="1" fillId="33" borderId="0" xfId="0" applyNumberFormat="1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6" borderId="18" xfId="0" applyNumberFormat="1" applyFont="1" applyFill="1" applyBorder="1" applyAlignment="1" applyProtection="1">
      <alignment/>
      <protection locked="0"/>
    </xf>
    <xf numFmtId="171" fontId="1" fillId="36" borderId="19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67" fontId="3" fillId="34" borderId="0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171" fontId="1" fillId="33" borderId="14" xfId="0" applyNumberFormat="1" applyFont="1" applyFill="1" applyBorder="1" applyAlignment="1" applyProtection="1">
      <alignment horizontal="right"/>
      <protection/>
    </xf>
    <xf numFmtId="171" fontId="1" fillId="33" borderId="14" xfId="0" applyNumberFormat="1" applyFont="1" applyFill="1" applyBorder="1" applyAlignment="1" applyProtection="1">
      <alignment/>
      <protection/>
    </xf>
    <xf numFmtId="166" fontId="1" fillId="36" borderId="18" xfId="0" applyNumberFormat="1" applyFon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173" fontId="1" fillId="36" borderId="18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center" wrapText="1"/>
      <protection/>
    </xf>
    <xf numFmtId="167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3" fontId="1" fillId="36" borderId="18" xfId="0" applyNumberFormat="1" applyFont="1" applyFill="1" applyBorder="1" applyAlignment="1" applyProtection="1">
      <alignment horizontal="right"/>
      <protection locked="0"/>
    </xf>
    <xf numFmtId="167" fontId="3" fillId="34" borderId="17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 indent="2"/>
      <protection/>
    </xf>
    <xf numFmtId="0" fontId="14" fillId="0" borderId="0" xfId="0" applyFont="1" applyFill="1" applyBorder="1" applyAlignment="1" applyProtection="1">
      <alignment horizontal="left"/>
      <protection/>
    </xf>
    <xf numFmtId="1" fontId="14" fillId="0" borderId="11" xfId="0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left"/>
      <protection/>
    </xf>
    <xf numFmtId="6" fontId="14" fillId="0" borderId="11" xfId="0" applyNumberFormat="1" applyFont="1" applyFill="1" applyBorder="1" applyAlignment="1" applyProtection="1">
      <alignment horizontal="right"/>
      <protection/>
    </xf>
    <xf numFmtId="171" fontId="14" fillId="0" borderId="11" xfId="0" applyNumberFormat="1" applyFont="1" applyFill="1" applyBorder="1" applyAlignment="1" applyProtection="1">
      <alignment horizontal="right"/>
      <protection/>
    </xf>
    <xf numFmtId="167" fontId="14" fillId="0" borderId="12" xfId="0" applyNumberFormat="1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right"/>
      <protection/>
    </xf>
    <xf numFmtId="168" fontId="14" fillId="0" borderId="11" xfId="42" applyNumberFormat="1" applyFont="1" applyFill="1" applyBorder="1" applyAlignment="1" applyProtection="1">
      <alignment horizontal="right"/>
      <protection/>
    </xf>
    <xf numFmtId="167" fontId="14" fillId="0" borderId="11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left"/>
      <protection/>
    </xf>
    <xf numFmtId="169" fontId="14" fillId="0" borderId="11" xfId="0" applyNumberFormat="1" applyFont="1" applyFill="1" applyBorder="1" applyAlignment="1" applyProtection="1">
      <alignment horizontal="right"/>
      <protection/>
    </xf>
    <xf numFmtId="169" fontId="14" fillId="0" borderId="12" xfId="0" applyNumberFormat="1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 horizontal="left" indent="1"/>
      <protection/>
    </xf>
    <xf numFmtId="0" fontId="18" fillId="0" borderId="21" xfId="0" applyFont="1" applyFill="1" applyBorder="1" applyAlignment="1" applyProtection="1">
      <alignment/>
      <protection/>
    </xf>
    <xf numFmtId="8" fontId="14" fillId="0" borderId="11" xfId="0" applyNumberFormat="1" applyFont="1" applyFill="1" applyBorder="1" applyAlignment="1" applyProtection="1">
      <alignment horizontal="right"/>
      <protection/>
    </xf>
    <xf numFmtId="0" fontId="14" fillId="0" borderId="21" xfId="0" applyFont="1" applyFill="1" applyBorder="1" applyAlignment="1" applyProtection="1">
      <alignment horizontal="left" vertical="top" indent="1"/>
      <protection/>
    </xf>
    <xf numFmtId="0" fontId="14" fillId="0" borderId="21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9" fontId="14" fillId="0" borderId="11" xfId="0" applyNumberFormat="1" applyFont="1" applyFill="1" applyBorder="1" applyAlignment="1" applyProtection="1">
      <alignment horizontal="right" vertical="top"/>
      <protection locked="0"/>
    </xf>
    <xf numFmtId="1" fontId="24" fillId="0" borderId="11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3" fontId="14" fillId="0" borderId="11" xfId="42" applyNumberFormat="1" applyFont="1" applyFill="1" applyBorder="1" applyAlignment="1" applyProtection="1">
      <alignment horizontal="right"/>
      <protection/>
    </xf>
    <xf numFmtId="0" fontId="14" fillId="0" borderId="21" xfId="0" applyFont="1" applyFill="1" applyBorder="1" applyAlignment="1" applyProtection="1">
      <alignment horizontal="left" vertical="top"/>
      <protection/>
    </xf>
    <xf numFmtId="175" fontId="14" fillId="0" borderId="0" xfId="0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26" fillId="0" borderId="21" xfId="52" applyFont="1" applyFill="1" applyBorder="1" applyAlignment="1" applyProtection="1" quotePrefix="1">
      <alignment horizontal="left" vertical="center" wrapText="1"/>
      <protection/>
    </xf>
    <xf numFmtId="0" fontId="14" fillId="0" borderId="21" xfId="0" applyFont="1" applyBorder="1" applyAlignment="1">
      <alignment/>
    </xf>
    <xf numFmtId="0" fontId="65" fillId="0" borderId="21" xfId="0" applyFont="1" applyBorder="1" applyAlignment="1">
      <alignment wrapText="1"/>
    </xf>
    <xf numFmtId="0" fontId="14" fillId="0" borderId="22" xfId="0" applyFont="1" applyFill="1" applyBorder="1" applyAlignment="1" applyProtection="1">
      <alignment horizontal="left" indent="1"/>
      <protection/>
    </xf>
    <xf numFmtId="3" fontId="14" fillId="0" borderId="14" xfId="0" applyNumberFormat="1" applyFont="1" applyFill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26" fillId="0" borderId="22" xfId="52" applyFont="1" applyFill="1" applyBorder="1" applyAlignment="1" applyProtection="1" quotePrefix="1">
      <alignment horizontal="left" vertical="center"/>
      <protection/>
    </xf>
    <xf numFmtId="0" fontId="28" fillId="0" borderId="0" xfId="0" applyFont="1" applyAlignment="1">
      <alignment/>
    </xf>
    <xf numFmtId="0" fontId="26" fillId="0" borderId="0" xfId="52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2" fillId="0" borderId="0" xfId="0" applyFont="1" applyAlignment="1">
      <alignment horizontal="center" wrapText="1"/>
    </xf>
    <xf numFmtId="167" fontId="17" fillId="35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34" borderId="23" xfId="0" applyFont="1" applyFill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left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169" fontId="9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5" fillId="0" borderId="0" xfId="0" applyFont="1" applyAlignment="1" applyProtection="1">
      <alignment horizontal="left"/>
      <protection/>
    </xf>
    <xf numFmtId="4" fontId="17" fillId="35" borderId="0" xfId="0" applyNumberFormat="1" applyFont="1" applyFill="1" applyBorder="1" applyAlignment="1" applyProtection="1">
      <alignment horizontal="right"/>
      <protection/>
    </xf>
    <xf numFmtId="3" fontId="17" fillId="35" borderId="0" xfId="0" applyNumberFormat="1" applyFont="1" applyFill="1" applyBorder="1" applyAlignment="1" applyProtection="1">
      <alignment horizontal="right"/>
      <protection/>
    </xf>
    <xf numFmtId="169" fontId="17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forecasts/aeo/er/" TargetMode="External" /><Relationship Id="rId2" Type="http://schemas.openxmlformats.org/officeDocument/2006/relationships/hyperlink" Target="http://www.epa.gov/cleanenergy/energy-resources/calculator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RowColHeaders="0" tabSelected="1" zoomScalePageLayoutView="0" workbookViewId="0" topLeftCell="A1">
      <selection activeCell="C7" sqref="C7"/>
    </sheetView>
  </sheetViews>
  <sheetFormatPr defaultColWidth="9.140625" defaultRowHeight="12.75"/>
  <cols>
    <col min="1" max="1" width="40.28125" style="1" customWidth="1"/>
    <col min="2" max="2" width="2.421875" style="1" customWidth="1"/>
    <col min="3" max="3" width="10.140625" style="1" customWidth="1"/>
    <col min="4" max="4" width="6.421875" style="1" customWidth="1"/>
    <col min="5" max="5" width="5.57421875" style="1" customWidth="1"/>
    <col min="6" max="6" width="2.8515625" style="1" customWidth="1"/>
    <col min="7" max="7" width="10.7109375" style="1" customWidth="1"/>
    <col min="8" max="8" width="4.00390625" style="1" customWidth="1"/>
    <col min="9" max="9" width="4.7109375" style="1" customWidth="1"/>
    <col min="10" max="10" width="4.140625" style="1" customWidth="1"/>
    <col min="11" max="11" width="9.421875" style="1" customWidth="1"/>
    <col min="12" max="12" width="3.421875" style="1" customWidth="1"/>
    <col min="13" max="13" width="3.00390625" style="1" customWidth="1"/>
    <col min="14" max="14" width="8.00390625" style="1" customWidth="1"/>
    <col min="15" max="16384" width="9.140625" style="1" customWidth="1"/>
  </cols>
  <sheetData>
    <row r="1" spans="1:13" ht="18">
      <c r="A1" s="129" t="str">
        <f>"Life Cycle Cost Estimate for "&amp;C7&amp;" Exit Sign(s)"</f>
        <v>Life Cycle Cost Estimate for 1 Exit Sign(s)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7" customHeight="1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15.75" customHeight="1">
      <c r="A4" s="26"/>
    </row>
    <row r="5" spans="1:13" ht="15.7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4.5" customHeight="1" thickBo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"/>
    </row>
    <row r="7" spans="1:14" ht="15.75" customHeight="1" thickBot="1">
      <c r="A7" s="5" t="s">
        <v>27</v>
      </c>
      <c r="B7" s="6"/>
      <c r="C7" s="57">
        <v>1</v>
      </c>
      <c r="D7" s="7"/>
      <c r="E7" s="7"/>
      <c r="F7" s="7"/>
      <c r="G7" s="7"/>
      <c r="H7" s="7"/>
      <c r="I7" s="7"/>
      <c r="J7" s="7"/>
      <c r="K7" s="7"/>
      <c r="L7" s="7"/>
      <c r="M7" s="8"/>
      <c r="N7" s="9"/>
    </row>
    <row r="8" spans="1:13" ht="15.75" customHeight="1" thickBot="1">
      <c r="A8" s="10" t="s">
        <v>51</v>
      </c>
      <c r="B8" s="6"/>
      <c r="C8" s="61">
        <f>Assumptions!B40</f>
        <v>0.1032</v>
      </c>
      <c r="D8" s="7"/>
      <c r="E8" s="7"/>
      <c r="F8" s="7"/>
      <c r="G8" s="7"/>
      <c r="H8" s="7"/>
      <c r="I8" s="7"/>
      <c r="J8" s="7"/>
      <c r="K8" s="7"/>
      <c r="L8" s="7"/>
      <c r="M8" s="8"/>
    </row>
    <row r="9" spans="1:14" ht="6.75" customHeight="1">
      <c r="A9" s="11"/>
      <c r="B9" s="6"/>
      <c r="C9" s="12"/>
      <c r="D9" s="7"/>
      <c r="E9" s="7"/>
      <c r="F9" s="7"/>
      <c r="G9" s="7"/>
      <c r="H9" s="7"/>
      <c r="I9" s="7"/>
      <c r="J9" s="7"/>
      <c r="K9" s="7"/>
      <c r="L9" s="7"/>
      <c r="M9" s="8"/>
      <c r="N9" s="9"/>
    </row>
    <row r="10" spans="1:13" ht="15">
      <c r="A10" s="51"/>
      <c r="B10" s="62"/>
      <c r="C10" s="63" t="s">
        <v>29</v>
      </c>
      <c r="D10" s="62"/>
      <c r="E10" s="62"/>
      <c r="F10" s="62"/>
      <c r="G10" s="63" t="s">
        <v>30</v>
      </c>
      <c r="H10" s="62"/>
      <c r="I10" s="44"/>
      <c r="J10" s="128"/>
      <c r="K10" s="128"/>
      <c r="L10" s="128"/>
      <c r="M10" s="8"/>
    </row>
    <row r="11" spans="1:14" ht="17.25" customHeight="1" thickBot="1">
      <c r="A11" s="5" t="s">
        <v>50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/>
    </row>
    <row r="12" spans="1:13" ht="15.75" customHeight="1" thickBot="1">
      <c r="A12" s="5" t="s">
        <v>1</v>
      </c>
      <c r="B12" s="7"/>
      <c r="C12" s="56">
        <f>IF(Assumptions!$B$5=1,Assumptions!$B14,IF(Assumptions!$B$5=2,Assumptions!$B19))</f>
        <v>0</v>
      </c>
      <c r="D12" s="13"/>
      <c r="E12" s="13"/>
      <c r="F12" s="13"/>
      <c r="G12" s="56">
        <f>IF(Assumptions!$B8=1,Assumptions!$B19,IF(Assumptions!$B8=2,Assumptions!$B22,IF(Assumptions!$B8=3,Assumptions!$B25)))</f>
        <v>39</v>
      </c>
      <c r="H12" s="13"/>
      <c r="I12" s="13"/>
      <c r="J12" s="14"/>
      <c r="K12" s="7"/>
      <c r="L12" s="13"/>
      <c r="M12" s="8"/>
    </row>
    <row r="13" spans="1:13" ht="15.75" customHeight="1" thickBot="1">
      <c r="A13" s="5" t="s">
        <v>37</v>
      </c>
      <c r="B13" s="7"/>
      <c r="C13" s="40">
        <f>IF(Assumptions!$B$5=1,Assumptions!$B13,IF(Assumptions!$B$5=2,Assumptions!$B18))</f>
        <v>40</v>
      </c>
      <c r="D13" s="13"/>
      <c r="E13" s="13"/>
      <c r="F13" s="13"/>
      <c r="G13" s="40">
        <f>IF(Assumptions!$B8=1,Assumptions!$B18,IF(Assumptions!$B8=2,Assumptions!$B21,IF(Assumptions!$B8=3,Assumptions!$B24)))</f>
        <v>2.9</v>
      </c>
      <c r="H13" s="13"/>
      <c r="I13" s="13"/>
      <c r="J13" s="14"/>
      <c r="K13" s="7"/>
      <c r="L13" s="13"/>
      <c r="M13" s="8"/>
    </row>
    <row r="14" spans="1:13" ht="15.75" customHeight="1" thickBot="1">
      <c r="A14" s="5" t="s">
        <v>17</v>
      </c>
      <c r="B14" s="7"/>
      <c r="C14" s="67">
        <f>IF(Assumptions!$B$5=1,2,"-")</f>
        <v>2</v>
      </c>
      <c r="D14" s="13"/>
      <c r="E14" s="13"/>
      <c r="F14" s="13"/>
      <c r="G14" s="13"/>
      <c r="H14" s="13"/>
      <c r="I14" s="13"/>
      <c r="J14" s="14"/>
      <c r="K14" s="7"/>
      <c r="L14" s="13"/>
      <c r="M14" s="8"/>
    </row>
    <row r="15" spans="1:13" ht="14.25" customHeight="1" thickBot="1">
      <c r="A15" s="5" t="s">
        <v>18</v>
      </c>
      <c r="B15" s="7"/>
      <c r="C15" s="41">
        <f>IF(Assumptions!$B$5=1,Assumptions!B15,"-")</f>
        <v>1.5</v>
      </c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4.5" customHeight="1">
      <c r="A16" s="15"/>
      <c r="B16" s="16"/>
      <c r="C16" s="54"/>
      <c r="D16" s="16"/>
      <c r="E16" s="16"/>
      <c r="F16" s="16"/>
      <c r="G16" s="55"/>
      <c r="H16" s="16"/>
      <c r="I16" s="16"/>
      <c r="J16" s="16"/>
      <c r="K16" s="16"/>
      <c r="L16" s="16"/>
      <c r="M16" s="17"/>
    </row>
    <row r="17" ht="14.25" customHeight="1">
      <c r="A17" s="45"/>
    </row>
    <row r="18" spans="1:13" ht="15.75">
      <c r="A18" s="126" t="str">
        <f>"Annual and Life Cycle Costs and Savings for "&amp;C7&amp;" Exit Sign(s)"</f>
        <v>Annual and Life Cycle Costs and Savings for 1 Exit Sign(s)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20.25" customHeight="1">
      <c r="A19" s="18"/>
      <c r="B19" s="131" t="s">
        <v>29</v>
      </c>
      <c r="C19" s="131"/>
      <c r="D19" s="131"/>
      <c r="E19" s="64"/>
      <c r="F19" s="131" t="s">
        <v>30</v>
      </c>
      <c r="G19" s="131"/>
      <c r="H19" s="131"/>
      <c r="I19" s="46"/>
      <c r="J19" s="131" t="s">
        <v>31</v>
      </c>
      <c r="K19" s="131"/>
      <c r="L19" s="131"/>
      <c r="M19" s="19"/>
    </row>
    <row r="20" spans="1:13" ht="15.75" customHeight="1">
      <c r="A20" s="52" t="str">
        <f>"Annual Operating Costs for "&amp;C7&amp;" Unit(s) *"</f>
        <v>Annual Operating Costs for 1 Unit(s) *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12.75">
      <c r="A21" s="22" t="s">
        <v>2</v>
      </c>
      <c r="B21" s="20"/>
      <c r="C21" s="65">
        <f>C8*Assumptions!B32</f>
        <v>36.16128</v>
      </c>
      <c r="D21" s="66"/>
      <c r="E21" s="66"/>
      <c r="F21" s="66"/>
      <c r="G21" s="65">
        <f>C8*Assumptions!B36</f>
        <v>2.6216928</v>
      </c>
      <c r="H21" s="66"/>
      <c r="I21" s="66"/>
      <c r="J21" s="66"/>
      <c r="K21" s="65">
        <f>C21-G21</f>
        <v>33.5395872</v>
      </c>
      <c r="L21" s="20"/>
      <c r="M21" s="21"/>
    </row>
    <row r="22" spans="1:13" ht="12.75">
      <c r="A22" s="23" t="s">
        <v>3</v>
      </c>
      <c r="B22" s="20"/>
      <c r="C22" s="65">
        <f>IF(Assumptions!$B$5=1,Assumptions!B33+Assumptions!B34,0)</f>
        <v>67.39130434782608</v>
      </c>
      <c r="D22" s="20"/>
      <c r="E22" s="20"/>
      <c r="F22" s="20"/>
      <c r="G22" s="65">
        <v>0</v>
      </c>
      <c r="H22" s="20"/>
      <c r="I22" s="20"/>
      <c r="J22" s="20"/>
      <c r="K22" s="65">
        <f>C22-G22</f>
        <v>67.39130434782608</v>
      </c>
      <c r="L22" s="20"/>
      <c r="M22" s="21"/>
    </row>
    <row r="23" spans="1:13" s="26" customFormat="1" ht="15.75" customHeight="1">
      <c r="A23" s="53" t="s">
        <v>4</v>
      </c>
      <c r="B23" s="24"/>
      <c r="C23" s="68">
        <f>C21+C22</f>
        <v>103.55258434782607</v>
      </c>
      <c r="D23" s="24"/>
      <c r="E23" s="24"/>
      <c r="F23" s="24"/>
      <c r="G23" s="68">
        <f>G21+G22</f>
        <v>2.6216928</v>
      </c>
      <c r="H23" s="24"/>
      <c r="I23" s="24"/>
      <c r="J23" s="24"/>
      <c r="K23" s="68">
        <f>K21+K22</f>
        <v>100.93089154782608</v>
      </c>
      <c r="L23" s="24"/>
      <c r="M23" s="25"/>
    </row>
    <row r="24" spans="1:13" ht="15.75" customHeight="1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5.75" customHeight="1">
      <c r="A25" s="52" t="s">
        <v>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2.75">
      <c r="A26" s="39" t="s">
        <v>19</v>
      </c>
      <c r="B26" s="20"/>
      <c r="C26" s="65">
        <f>Assumptions!B29*C23</f>
        <v>1035.5258434782606</v>
      </c>
      <c r="D26" s="20"/>
      <c r="E26" s="20"/>
      <c r="F26" s="20"/>
      <c r="G26" s="65">
        <f>Assumptions!B29*G23</f>
        <v>26.216928</v>
      </c>
      <c r="H26" s="20"/>
      <c r="I26" s="20"/>
      <c r="J26" s="20"/>
      <c r="K26" s="65">
        <f>C26-G26</f>
        <v>1009.3089154782606</v>
      </c>
      <c r="L26" s="20"/>
      <c r="M26" s="21"/>
    </row>
    <row r="27" spans="1:13" ht="12.75">
      <c r="A27" s="22" t="str">
        <f>"Purchase price for "&amp;C7&amp;" unit(s)"</f>
        <v>Purchase price for 1 unit(s)</v>
      </c>
      <c r="B27" s="20"/>
      <c r="C27" s="65">
        <f>C7*C12</f>
        <v>0</v>
      </c>
      <c r="D27" s="66"/>
      <c r="E27" s="66"/>
      <c r="F27" s="66"/>
      <c r="G27" s="65">
        <f>C7*G12</f>
        <v>39</v>
      </c>
      <c r="H27" s="66"/>
      <c r="I27" s="66"/>
      <c r="J27" s="66"/>
      <c r="K27" s="65">
        <f>C27-G27</f>
        <v>-39</v>
      </c>
      <c r="L27" s="20"/>
      <c r="M27" s="21"/>
    </row>
    <row r="28" spans="1:13" s="26" customFormat="1" ht="15">
      <c r="A28" s="53" t="s">
        <v>4</v>
      </c>
      <c r="B28" s="24"/>
      <c r="C28" s="68">
        <f>C26+C27</f>
        <v>1035.5258434782606</v>
      </c>
      <c r="D28" s="105"/>
      <c r="E28" s="105"/>
      <c r="F28" s="105"/>
      <c r="G28" s="68">
        <f>G26+G27</f>
        <v>65.216928</v>
      </c>
      <c r="H28" s="105"/>
      <c r="I28" s="105"/>
      <c r="J28" s="105"/>
      <c r="K28" s="68">
        <f>K26+K27</f>
        <v>970.3089154782606</v>
      </c>
      <c r="L28" s="24"/>
      <c r="M28" s="25"/>
    </row>
    <row r="29" spans="1:13" s="26" customFormat="1" ht="12.75">
      <c r="A29" s="48"/>
      <c r="B29" s="24"/>
      <c r="C29" s="49"/>
      <c r="D29" s="24"/>
      <c r="E29" s="24"/>
      <c r="F29" s="24"/>
      <c r="G29" s="49"/>
      <c r="H29" s="24"/>
      <c r="I29" s="24"/>
      <c r="J29" s="24"/>
      <c r="K29" s="49"/>
      <c r="L29" s="24"/>
      <c r="M29" s="25"/>
    </row>
    <row r="30" spans="1:13" ht="14.25">
      <c r="A30" s="47"/>
      <c r="B30" s="20"/>
      <c r="C30" s="20"/>
      <c r="D30" s="20"/>
      <c r="E30" s="24"/>
      <c r="F30" s="24"/>
      <c r="G30" s="27" t="s">
        <v>53</v>
      </c>
      <c r="H30" s="134">
        <f>IF(-K37&gt;=0,"N/A, no additional cost",IF(K23&lt;=0,"N/A, no savings",IF(K37/K23&gt;10,"&gt;10",K37/K23)))</f>
        <v>0.3864030070666706</v>
      </c>
      <c r="I30" s="135"/>
      <c r="J30" s="135"/>
      <c r="K30" s="135"/>
      <c r="L30" s="135"/>
      <c r="M30" s="21"/>
    </row>
    <row r="31" spans="1:13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39" customHeight="1">
      <c r="A32" s="132" t="s">
        <v>66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7" ht="13.5">
      <c r="A33" s="136" t="s">
        <v>57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Q33" s="60"/>
    </row>
    <row r="35" spans="1:13" ht="15.75" customHeight="1">
      <c r="A35" s="126" t="str">
        <f>"Summary for "&amp;C7&amp;" Exit Sign(s)"</f>
        <v>Summary for 1 Exit Sign(s)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4.5" customHeight="1">
      <c r="A36" s="31" t="s">
        <v>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15.75" customHeight="1">
      <c r="A37" s="34" t="s">
        <v>62</v>
      </c>
      <c r="B37" s="50"/>
      <c r="C37" s="50"/>
      <c r="D37" s="50"/>
      <c r="E37" s="50"/>
      <c r="F37" s="50"/>
      <c r="G37" s="50"/>
      <c r="H37" s="59"/>
      <c r="I37" s="59"/>
      <c r="J37" s="50"/>
      <c r="K37" s="127">
        <f>C7*(G12-C12)</f>
        <v>39</v>
      </c>
      <c r="L37" s="127"/>
      <c r="M37" s="35"/>
    </row>
    <row r="38" spans="1:13" ht="15.75" customHeight="1">
      <c r="A38" s="34" t="s">
        <v>67</v>
      </c>
      <c r="B38" s="50"/>
      <c r="C38" s="50"/>
      <c r="D38" s="50"/>
      <c r="E38" s="50"/>
      <c r="F38" s="50"/>
      <c r="G38" s="50"/>
      <c r="H38" s="59"/>
      <c r="I38" s="59"/>
      <c r="J38" s="50"/>
      <c r="K38" s="127">
        <f>K26</f>
        <v>1009.3089154782606</v>
      </c>
      <c r="L38" s="127"/>
      <c r="M38" s="35"/>
    </row>
    <row r="39" spans="1:13" ht="15">
      <c r="A39" s="34" t="s">
        <v>6</v>
      </c>
      <c r="B39" s="50"/>
      <c r="C39" s="50"/>
      <c r="D39" s="50"/>
      <c r="E39" s="50"/>
      <c r="F39" s="50"/>
      <c r="G39" s="50"/>
      <c r="H39" s="59"/>
      <c r="I39" s="59"/>
      <c r="J39" s="50"/>
      <c r="K39" s="127">
        <f>K28</f>
        <v>970.3089154782606</v>
      </c>
      <c r="L39" s="127"/>
      <c r="M39" s="35"/>
    </row>
    <row r="40" spans="1:13" ht="15">
      <c r="A40" s="34" t="s">
        <v>61</v>
      </c>
      <c r="B40" s="50"/>
      <c r="C40" s="50"/>
      <c r="D40" s="50"/>
      <c r="E40" s="50"/>
      <c r="F40" s="50"/>
      <c r="G40" s="50"/>
      <c r="H40" s="59"/>
      <c r="I40" s="59"/>
      <c r="J40" s="50"/>
      <c r="K40" s="139">
        <f>H30</f>
        <v>0.3864030070666706</v>
      </c>
      <c r="L40" s="140"/>
      <c r="M40" s="35"/>
    </row>
    <row r="41" spans="1:13" ht="15.75" customHeight="1">
      <c r="A41" s="34" t="s">
        <v>7</v>
      </c>
      <c r="B41" s="50"/>
      <c r="C41" s="50"/>
      <c r="D41" s="50"/>
      <c r="E41" s="50"/>
      <c r="F41" s="50"/>
      <c r="G41" s="50"/>
      <c r="H41" s="59"/>
      <c r="I41" s="59"/>
      <c r="J41" s="50"/>
      <c r="K41" s="138">
        <f>Assumptions!B29*(Assumptions!B32-Assumptions!B36)</f>
        <v>3249.96</v>
      </c>
      <c r="L41" s="138"/>
      <c r="M41" s="35"/>
    </row>
    <row r="42" spans="1:13" ht="15.75" customHeight="1">
      <c r="A42" s="34" t="s">
        <v>8</v>
      </c>
      <c r="B42" s="50"/>
      <c r="C42" s="50"/>
      <c r="D42" s="50"/>
      <c r="E42" s="50"/>
      <c r="F42" s="50"/>
      <c r="G42" s="50"/>
      <c r="H42" s="59"/>
      <c r="I42" s="59"/>
      <c r="J42" s="50"/>
      <c r="K42" s="138">
        <f>K41*Assumptions!B42</f>
        <v>5004.9384</v>
      </c>
      <c r="L42" s="138"/>
      <c r="M42" s="35"/>
    </row>
    <row r="43" spans="1:13" ht="15.75" customHeight="1">
      <c r="A43" s="34" t="s">
        <v>52</v>
      </c>
      <c r="B43" s="50"/>
      <c r="C43" s="50"/>
      <c r="D43" s="50"/>
      <c r="E43" s="50"/>
      <c r="F43" s="50"/>
      <c r="G43" s="50"/>
      <c r="H43" s="59"/>
      <c r="I43" s="59"/>
      <c r="J43" s="50"/>
      <c r="K43" s="137">
        <f>K42/Assumptions!B44</f>
        <v>0.47798093782828766</v>
      </c>
      <c r="L43" s="137"/>
      <c r="M43" s="35"/>
    </row>
    <row r="44" spans="1:13" s="38" customFormat="1" ht="4.5" customHeight="1">
      <c r="A44" s="5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</row>
    <row r="45" spans="1:14" s="38" customFormat="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sheet="1"/>
  <mergeCells count="19">
    <mergeCell ref="J19:L19"/>
    <mergeCell ref="A32:M32"/>
    <mergeCell ref="H30:L30"/>
    <mergeCell ref="A33:M33"/>
    <mergeCell ref="K43:L43"/>
    <mergeCell ref="K39:L39"/>
    <mergeCell ref="K41:L41"/>
    <mergeCell ref="K42:L42"/>
    <mergeCell ref="K40:L40"/>
    <mergeCell ref="A35:M35"/>
    <mergeCell ref="K37:L37"/>
    <mergeCell ref="K38:L38"/>
    <mergeCell ref="J10:L10"/>
    <mergeCell ref="A18:M18"/>
    <mergeCell ref="A1:M1"/>
    <mergeCell ref="A3:M3"/>
    <mergeCell ref="A5:M5"/>
    <mergeCell ref="B19:D19"/>
    <mergeCell ref="F19:H19"/>
  </mergeCells>
  <printOptions horizontalCentered="1"/>
  <pageMargins left="1" right="1" top="0.5" bottom="0.5" header="0.25" footer="0.25"/>
  <pageSetup fitToHeight="1" fitToWidth="1" horizontalDpi="600" verticalDpi="600" orientation="portrait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4.421875" style="78" customWidth="1"/>
    <col min="2" max="2" width="8.00390625" style="101" customWidth="1"/>
    <col min="3" max="3" width="13.28125" style="102" customWidth="1"/>
    <col min="4" max="4" width="100.57421875" style="71" customWidth="1"/>
    <col min="5" max="19" width="9.140625" style="78" customWidth="1"/>
    <col min="20" max="16384" width="9.140625" style="71" customWidth="1"/>
  </cols>
  <sheetData>
    <row r="1" spans="1:19" ht="15.75">
      <c r="A1" s="141" t="s">
        <v>20</v>
      </c>
      <c r="B1" s="141"/>
      <c r="C1" s="141"/>
      <c r="D1" s="141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">
      <c r="A2" s="72"/>
      <c r="B2" s="72"/>
      <c r="C2" s="72"/>
      <c r="D2" s="72"/>
      <c r="E2" s="69"/>
      <c r="F2" s="69"/>
      <c r="G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103" t="s">
        <v>9</v>
      </c>
      <c r="B3" s="142" t="s">
        <v>10</v>
      </c>
      <c r="C3" s="142"/>
      <c r="D3" s="104" t="s">
        <v>11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">
      <c r="A4" s="73" t="s">
        <v>26</v>
      </c>
      <c r="B4" s="74"/>
      <c r="C4" s="75"/>
      <c r="D4" s="76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0.75" customHeight="1">
      <c r="A5" s="77" t="s">
        <v>29</v>
      </c>
      <c r="B5" s="78">
        <v>1</v>
      </c>
      <c r="C5" s="79"/>
      <c r="D5" s="8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0.75" customHeight="1">
      <c r="A6" s="81" t="s">
        <v>25</v>
      </c>
      <c r="B6" s="78"/>
      <c r="C6" s="79"/>
      <c r="D6" s="8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ht="0.75" customHeight="1">
      <c r="A7" s="81" t="s">
        <v>24</v>
      </c>
      <c r="B7" s="78"/>
      <c r="C7" s="79"/>
      <c r="D7" s="8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0.75" customHeight="1">
      <c r="A8" s="77" t="s">
        <v>30</v>
      </c>
      <c r="B8" s="78">
        <v>1</v>
      </c>
      <c r="C8" s="79"/>
      <c r="D8" s="8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0.75" customHeight="1">
      <c r="A9" s="81" t="s">
        <v>24</v>
      </c>
      <c r="B9" s="82"/>
      <c r="C9" s="79"/>
      <c r="D9" s="8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0.75" customHeight="1">
      <c r="A10" s="81" t="s">
        <v>63</v>
      </c>
      <c r="B10" s="82"/>
      <c r="C10" s="79"/>
      <c r="D10" s="8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0.75" customHeight="1">
      <c r="A11" s="81" t="s">
        <v>64</v>
      </c>
      <c r="B11" s="82"/>
      <c r="C11" s="79"/>
      <c r="D11" s="8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2">
      <c r="A12" s="77" t="s">
        <v>25</v>
      </c>
      <c r="B12" s="99"/>
      <c r="C12" s="79"/>
      <c r="D12" s="8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2">
      <c r="A13" s="81" t="s">
        <v>32</v>
      </c>
      <c r="B13" s="83">
        <v>40</v>
      </c>
      <c r="C13" s="84" t="s">
        <v>33</v>
      </c>
      <c r="D13" s="80" t="s">
        <v>54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2">
      <c r="A14" s="81" t="s">
        <v>1</v>
      </c>
      <c r="B14" s="85">
        <v>0</v>
      </c>
      <c r="C14" s="84"/>
      <c r="D14" s="80" t="s">
        <v>65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2">
      <c r="A15" s="81" t="s">
        <v>34</v>
      </c>
      <c r="B15" s="86">
        <v>1.5</v>
      </c>
      <c r="C15" s="87"/>
      <c r="D15" s="80" t="s">
        <v>54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2">
      <c r="A16" s="81" t="s">
        <v>40</v>
      </c>
      <c r="B16" s="108">
        <v>0.23</v>
      </c>
      <c r="C16" s="84" t="s">
        <v>41</v>
      </c>
      <c r="D16" s="80" t="s">
        <v>54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2">
      <c r="A17" s="77" t="s">
        <v>24</v>
      </c>
      <c r="B17" s="88"/>
      <c r="C17" s="84"/>
      <c r="D17" s="8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2">
      <c r="A18" s="81" t="s">
        <v>32</v>
      </c>
      <c r="B18" s="89">
        <v>2.9</v>
      </c>
      <c r="C18" s="84" t="s">
        <v>33</v>
      </c>
      <c r="D18" s="80" t="s">
        <v>54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2">
      <c r="A19" s="81" t="s">
        <v>1</v>
      </c>
      <c r="B19" s="85">
        <v>39</v>
      </c>
      <c r="C19" s="84"/>
      <c r="D19" s="80" t="s">
        <v>54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2">
      <c r="A20" s="77" t="s">
        <v>63</v>
      </c>
      <c r="B20" s="107"/>
      <c r="C20" s="84"/>
      <c r="D20" s="8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2">
      <c r="A21" s="81" t="s">
        <v>32</v>
      </c>
      <c r="B21" s="109">
        <v>0</v>
      </c>
      <c r="C21" s="84" t="s">
        <v>33</v>
      </c>
      <c r="D21" s="80" t="s">
        <v>56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2">
      <c r="A22" s="81" t="s">
        <v>1</v>
      </c>
      <c r="B22" s="90">
        <v>82</v>
      </c>
      <c r="C22" s="84"/>
      <c r="D22" s="80" t="s">
        <v>54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2">
      <c r="A23" s="77" t="s">
        <v>64</v>
      </c>
      <c r="B23" s="83"/>
      <c r="C23" s="84"/>
      <c r="D23" s="8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2">
      <c r="A24" s="81" t="s">
        <v>32</v>
      </c>
      <c r="B24" s="109">
        <v>0</v>
      </c>
      <c r="C24" s="84" t="s">
        <v>33</v>
      </c>
      <c r="D24" s="80" t="s">
        <v>56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2">
      <c r="A25" s="81" t="s">
        <v>1</v>
      </c>
      <c r="B25" s="85">
        <v>159</v>
      </c>
      <c r="C25" s="84"/>
      <c r="D25" s="80" t="s">
        <v>54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2">
      <c r="A26" s="91" t="s">
        <v>12</v>
      </c>
      <c r="B26" s="92"/>
      <c r="C26" s="93"/>
      <c r="D26" s="8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2">
      <c r="A27" s="94" t="s">
        <v>43</v>
      </c>
      <c r="B27" s="90">
        <v>25</v>
      </c>
      <c r="C27" s="84" t="s">
        <v>42</v>
      </c>
      <c r="D27" s="80" t="s">
        <v>48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2">
      <c r="A28" s="94" t="s">
        <v>23</v>
      </c>
      <c r="B28" s="88">
        <v>0.25</v>
      </c>
      <c r="C28" s="84" t="s">
        <v>44</v>
      </c>
      <c r="D28" s="80" t="s">
        <v>48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2">
      <c r="A29" s="94" t="s">
        <v>58</v>
      </c>
      <c r="B29" s="99">
        <v>10</v>
      </c>
      <c r="C29" s="84" t="s">
        <v>59</v>
      </c>
      <c r="D29" s="80" t="s">
        <v>68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2">
      <c r="A30" s="95" t="s">
        <v>36</v>
      </c>
      <c r="B30" s="99"/>
      <c r="C30" s="79"/>
      <c r="D30" s="8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2">
      <c r="A31" s="77" t="s">
        <v>29</v>
      </c>
      <c r="B31" s="99"/>
      <c r="C31" s="79"/>
      <c r="D31" s="8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2">
      <c r="A32" s="81" t="s">
        <v>38</v>
      </c>
      <c r="B32" s="83">
        <f>'Exit Signs Calculator'!C7*'Exit Signs Calculator'!C13*8760/1000</f>
        <v>350.4</v>
      </c>
      <c r="C32" s="82" t="s">
        <v>39</v>
      </c>
      <c r="D32" s="80" t="s">
        <v>55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>
      <c r="A33" s="81" t="s">
        <v>35</v>
      </c>
      <c r="B33" s="96">
        <f>IF(B5=1,'Exit Signs Calculator'!C7*'Exit Signs Calculator'!C14/Assumptions!B16*'Exit Signs Calculator'!C15,0)</f>
        <v>13.043478260869565</v>
      </c>
      <c r="C33" s="78"/>
      <c r="D33" s="80" t="s">
        <v>55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2">
      <c r="A34" s="81" t="s">
        <v>49</v>
      </c>
      <c r="B34" s="96">
        <f>IF(B5=1,'Exit Signs Calculator'!C7*'Exit Signs Calculator'!C14/Assumptions!B16*B27*B28,0)</f>
        <v>54.347826086956516</v>
      </c>
      <c r="C34" s="78"/>
      <c r="D34" s="80" t="s">
        <v>55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2">
      <c r="A35" s="77" t="s">
        <v>30</v>
      </c>
      <c r="B35" s="99"/>
      <c r="C35" s="79"/>
      <c r="D35" s="8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>
      <c r="A36" s="81" t="s">
        <v>38</v>
      </c>
      <c r="B36" s="83">
        <f>'Exit Signs Calculator'!C7*'Exit Signs Calculator'!G13*8760/1000</f>
        <v>25.404</v>
      </c>
      <c r="C36" s="84" t="s">
        <v>39</v>
      </c>
      <c r="D36" s="80" t="s">
        <v>55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>
      <c r="A37" s="95" t="s">
        <v>13</v>
      </c>
      <c r="B37" s="88"/>
      <c r="C37" s="84"/>
      <c r="D37" s="8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24.75" customHeight="1">
      <c r="A38" s="97" t="s">
        <v>45</v>
      </c>
      <c r="B38" s="106">
        <v>0.04</v>
      </c>
      <c r="C38" s="84"/>
      <c r="D38" s="98" t="s">
        <v>14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2">
      <c r="A39" s="95" t="s">
        <v>15</v>
      </c>
      <c r="B39" s="99"/>
      <c r="C39" s="84"/>
      <c r="D39" s="8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2.75" customHeight="1">
      <c r="A40" s="110" t="s">
        <v>21</v>
      </c>
      <c r="B40" s="111">
        <v>0.1032</v>
      </c>
      <c r="C40" s="112" t="s">
        <v>70</v>
      </c>
      <c r="D40" s="113" t="s">
        <v>75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2" customHeight="1">
      <c r="A41" s="95" t="s">
        <v>16</v>
      </c>
      <c r="B41" s="111"/>
      <c r="C41" s="112"/>
      <c r="D41" s="11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3.5">
      <c r="A42" s="94" t="s">
        <v>22</v>
      </c>
      <c r="B42" s="99">
        <v>1.54</v>
      </c>
      <c r="C42" s="84" t="s">
        <v>46</v>
      </c>
      <c r="D42" s="115" t="s">
        <v>74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3.5">
      <c r="A43" s="95" t="s">
        <v>47</v>
      </c>
      <c r="B43" s="100"/>
      <c r="C43" s="84"/>
      <c r="D43" s="8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3.5">
      <c r="A44" s="116" t="s">
        <v>71</v>
      </c>
      <c r="B44" s="117" t="s">
        <v>77</v>
      </c>
      <c r="C44" s="118" t="s">
        <v>72</v>
      </c>
      <c r="D44" s="119" t="s">
        <v>76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5:19" ht="1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2">
      <c r="A46" s="120" t="s">
        <v>69</v>
      </c>
      <c r="B46" s="121"/>
      <c r="C46" s="122"/>
      <c r="D46" s="123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2">
      <c r="A47" s="124" t="s">
        <v>73</v>
      </c>
      <c r="B47" s="125"/>
      <c r="C47" s="122"/>
      <c r="D47" s="123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4" ht="12">
      <c r="A48" s="124"/>
      <c r="B48" s="125"/>
      <c r="C48" s="122"/>
      <c r="D48" s="123"/>
    </row>
    <row r="49" spans="1:4" ht="12">
      <c r="A49" s="124"/>
      <c r="B49" s="125"/>
      <c r="C49" s="122"/>
      <c r="D49" s="123"/>
    </row>
  </sheetData>
  <sheetProtection/>
  <mergeCells count="2">
    <mergeCell ref="A1:D1"/>
    <mergeCell ref="B3:C3"/>
  </mergeCells>
  <hyperlinks>
    <hyperlink ref="D40" r:id="rId1" display="- National average: US Department of Energy, Annual Energy Outlook 2013 (Early Release edition), (converted from 2011 to 2012 dollars)"/>
    <hyperlink ref="D44" r:id="rId2" display="- EPA Greenhouse Gas Equivalencies Calculator, 2010"/>
  </hyperlinks>
  <printOptions horizontalCentered="1"/>
  <pageMargins left="0" right="0" top="0.5" bottom="0.5" header="0" footer="0.25"/>
  <pageSetup fitToHeight="1" fitToWidth="1" horizontalDpi="600" verticalDpi="600" orientation="landscape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ppappas</dc:creator>
  <cp:keywords/>
  <dc:description/>
  <cp:lastModifiedBy>Lauren Mattison</cp:lastModifiedBy>
  <cp:lastPrinted>2009-04-22T03:25:19Z</cp:lastPrinted>
  <dcterms:created xsi:type="dcterms:W3CDTF">2004-07-12T13:20:55Z</dcterms:created>
  <dcterms:modified xsi:type="dcterms:W3CDTF">2014-09-26T21:51:33Z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