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30" windowHeight="5175" activeTab="0"/>
  </bookViews>
  <sheets>
    <sheet name="OM1 - 115V (Qualified)" sheetId="1" r:id="rId1"/>
    <sheet name="OM2 - 115V (Qualified)" sheetId="2" r:id="rId2"/>
    <sheet name="OM3 - 115V (Qualified)" sheetId="3" r:id="rId3"/>
    <sheet name="OM4 - 115V (Qualified)" sheetId="4" r:id="rId4"/>
    <sheet name="OM5 - 115V (Qualified)" sheetId="5" r:id="rId5"/>
    <sheet name="OM6 - 115V (Qualified)" sheetId="6" r:id="rId6"/>
    <sheet name="OM7 - 115V (Qualified)" sheetId="7" r:id="rId7"/>
    <sheet name="OM8 - 115V (Qualified)" sheetId="8" r:id="rId8"/>
  </sheets>
  <externalReferences>
    <externalReference r:id="rId11"/>
    <externalReference r:id="rId12"/>
  </externalReferences>
  <definedNames>
    <definedName name="AutomaticDuplexCapable">'[1]Ref3'!$N$2:$N$4</definedName>
    <definedName name="ColorCapability">'[1]Ref3'!$L$2:$L$4</definedName>
    <definedName name="MarkingTechnology">'[1]Ref3'!$C$2:$C$10</definedName>
    <definedName name="ProductType">'[2]Ref3'!$A$2:$A$8</definedName>
    <definedName name="SizeFormat">'[1]Ref3'!$B$2:$B$5</definedName>
  </definedNames>
  <calcPr fullCalcOnLoad="1"/>
</workbook>
</file>

<file path=xl/sharedStrings.xml><?xml version="1.0" encoding="utf-8"?>
<sst xmlns="http://schemas.openxmlformats.org/spreadsheetml/2006/main" count="2261" uniqueCount="228">
  <si>
    <t>OM Table</t>
  </si>
  <si>
    <t>Product Type</t>
  </si>
  <si>
    <t>Size Format</t>
  </si>
  <si>
    <t>Marking Technology</t>
  </si>
  <si>
    <t>Color Capability</t>
  </si>
  <si>
    <t>Maximum Document Size (Width x Height)</t>
  </si>
  <si>
    <t>Internal Memory/RAM (MB)</t>
  </si>
  <si>
    <t>Automatic Duplex Output Capable?</t>
  </si>
  <si>
    <t>Monochrome Product Speed (ipm or mppm)</t>
  </si>
  <si>
    <t>Color Product Speed (ipm or mppm)</t>
  </si>
  <si>
    <t>Ready (W)</t>
  </si>
  <si>
    <t>Sleep (W)</t>
  </si>
  <si>
    <t>Auto-off (W)</t>
  </si>
  <si>
    <t>Off (W)</t>
  </si>
  <si>
    <t>Standby (W)</t>
  </si>
  <si>
    <t>Primary Functional Adders (Maximum of 3)</t>
  </si>
  <si>
    <t>Primary Functional Adder Allowance</t>
  </si>
  <si>
    <t>Secondary Functional Adders</t>
  </si>
  <si>
    <t>Secondary Functional Adder Allowance</t>
  </si>
  <si>
    <t>Internal Power Supply Rated Output Power (W) [if applicable]</t>
  </si>
  <si>
    <t>Sum of FA Allowances</t>
  </si>
  <si>
    <t>Sleep minus Sum of FA</t>
  </si>
  <si>
    <t>Copiers</t>
  </si>
  <si>
    <t>Large</t>
  </si>
  <si>
    <t>Electrophotography (EP)</t>
  </si>
  <si>
    <t>Monochrome</t>
  </si>
  <si>
    <t>116 x 36</t>
  </si>
  <si>
    <t>No</t>
  </si>
  <si>
    <t>91.4 x 1500</t>
  </si>
  <si>
    <t>MFDs</t>
  </si>
  <si>
    <t>48 x 36</t>
  </si>
  <si>
    <t>Wired ≥ 20 MHz and &lt; 500 MHz - USB 2.x, Wired ≥ 20 MHz and &lt; 500 MHz - 100 Mb Ethernet</t>
  </si>
  <si>
    <t>Memory , Power-supply size &gt; 10W , Scanners with non-CCFL lamps - Other , Storage - disk drive, Wired ≥ 20 MHz and &lt; 500 MHz - USB 2.x</t>
  </si>
  <si>
    <t>142 x 36</t>
  </si>
  <si>
    <t>588 x 36</t>
  </si>
  <si>
    <t>91.4x1500</t>
  </si>
  <si>
    <t>Wired ≥ 20 MHz and &lt; 500 MHz - Other, Wired ≥ 20 MHz and &lt; 500 MHz - Other, Wired ≥ 500 MHz - Other</t>
  </si>
  <si>
    <t>Memory , PC-based system , Power-supply size &gt; 10W , Scanners with non-CCFL lamps - Xenon, Storage - Other, Wired ≥ 20 MHz and &lt; 500 MHz - Other</t>
  </si>
  <si>
    <t>91.4 x 150</t>
  </si>
  <si>
    <t>Memory , PC-based system , Power-supply size &gt; 10W , Scanners with non-CCFL lamps - Xenon, Storage - disk drive, Storage - disk drive</t>
  </si>
  <si>
    <t>Wired ≥ 500 MHz - 1 G Ethernet, Wired ≥ 20 MHz and &lt; 500 MHz - Other, Wired ≥ 20 MHz and &lt; 500 MHz - Other</t>
  </si>
  <si>
    <t>Memory , PC-based system , Power-supply size &gt; 10W , Scanners with non-CCFL lamps - Tubular Fluorescent (TL), Storage - disk drive, Storage - disk drive, Wired ≥ 20 MHz and &lt; 500 MHz - IEEE 1394/FireWire/i.LINK</t>
  </si>
  <si>
    <t>91.4x 150</t>
  </si>
  <si>
    <t>Wired &lt; 20 MHz - Other, Wired ≥ 20 MHz and &lt; 500 MHz - Other, Wired ≥ 500 MHz - Other</t>
  </si>
  <si>
    <t>Memory , PC-based system , Power-supply size &gt; 10W , Scanners with non-CCFL lamps - Xenon, Storage - disk drive, Storage - disk drive, Wired ≥ 20 MHz and &lt; 500 MHz - Other</t>
  </si>
  <si>
    <t>Memory , PC-based system , Power-supply size &gt; 10W , Scanners with non-CCFL lamps - Xenon, Storage - disk drive, Wired ≥ 20 MHz and &lt; 500 MHz - Other</t>
  </si>
  <si>
    <t>91.4x150</t>
  </si>
  <si>
    <t>Fax Machines</t>
  </si>
  <si>
    <t>Standard</t>
  </si>
  <si>
    <t>Ink Jet (IJ)</t>
  </si>
  <si>
    <t>8.5x11.7</t>
  </si>
  <si>
    <t>Color</t>
  </si>
  <si>
    <t>8.4x11.7</t>
  </si>
  <si>
    <t>Yes</t>
  </si>
  <si>
    <t>8.5 x 14</t>
  </si>
  <si>
    <t>Wired ≥ 20 MHz and &lt; 500 MHz - USB 2.x, Wireless - 802.11</t>
  </si>
  <si>
    <t>Scanners with non-CCFL lamps - Other , Storage - Other, Storage - Other, Wired ≥ 20 MHz and &lt; 500 MHz - 100 Mb Ethernet</t>
  </si>
  <si>
    <t>8.5 x 11.7</t>
  </si>
  <si>
    <t>Wired ≥ 20 MHz and &lt; 500 MHz - USB 2.x</t>
  </si>
  <si>
    <t>Memory , Scanners with non-CCFL lamps - Other</t>
  </si>
  <si>
    <t>Wired &lt; 20 MHz - USB 1.x</t>
  </si>
  <si>
    <t>Power-supply size &gt; 10W , Scanners with non-CCFL lamps - Light-Emitting Diodes (LED)</t>
  </si>
  <si>
    <t>22 x 300</t>
  </si>
  <si>
    <t>7.8125 MB</t>
  </si>
  <si>
    <t>Scanners with non-CCFL lamps - Light-Emitting Diodes (LED)</t>
  </si>
  <si>
    <t>Scanners with non-CCFL lamps - Light-Emitting Diodes (LED), Wired card/camera/storage - flash memory-card/smart-card reader, Wired card/camera/storage - Other, Wired card/camera/storage - PictBridge</t>
  </si>
  <si>
    <t>Infrared - IrDA, Power-supply size &gt; 10W , Scanners with non-CCFL lamps - Light-Emitting Diodes (LED), Wired card/camera/storage - flash memory-card/smart-card reader, Wired card/camera/storage - Other, Wired card/camera/storage - PictBridge</t>
  </si>
  <si>
    <t>8 x 14</t>
  </si>
  <si>
    <t>Memory , Power-supply size &gt; 10W , Scanners with non-CCFL lamps - Light-Emitting Diodes (LED)</t>
  </si>
  <si>
    <t>8.5x14</t>
  </si>
  <si>
    <t>Wired ≥ 20 MHz and &lt; 500 MHz - USB 2.x, Wired ≥ 20 MHz and &lt; 500 MHz - 100 Mb Ethernet, Wired card/camera/storage - PictBridge</t>
  </si>
  <si>
    <t>Memory , Power-supply size &gt; 10W , Scanners with CCFL lamps</t>
  </si>
  <si>
    <t>8.5x11</t>
  </si>
  <si>
    <t>Wired ≥ 20 MHz and &lt; 500 MHz - USB 2.x, Wired card/camera/storage - PictBridge</t>
  </si>
  <si>
    <t>Memory , Power-supply size &gt; 10W , Scanners with non-CCFL lamps - Light-Emitting Diodes (LED), Wired card/camera/storage - flash memory-card/smart-card reader, Wired card/camera/storage - PictBridge</t>
  </si>
  <si>
    <t>Wireless - 802.11</t>
  </si>
  <si>
    <t>Memory , Power-supply size &gt; 10W , Scanners with non-CCFL lamps - Light-Emitting Diodes (LED), Wired ≥ 20 MHz and &lt; 500 MHz - USB 2.x, Wired card/camera/storage - flash memory-card/smart-card reader, Wired card/camera/storage - PictBridge</t>
  </si>
  <si>
    <t>8.5X14</t>
  </si>
  <si>
    <t>Printers</t>
  </si>
  <si>
    <t>13x19</t>
  </si>
  <si>
    <t>Power-supply size &gt; 10W , Wired card/camera/storage - PictBridge</t>
  </si>
  <si>
    <t>Power-supply size &gt; 10W , Wired ≥ 20 MHz and &lt; 500 MHz - USB 2.x, Wired card/camera/storage - PictBridge</t>
  </si>
  <si>
    <t>Infrared - IrDA, Power-supply size &gt; 10W , Wired card/camera/storage - flash memory-card/smart-card reader, Wired card/camera/storage - Other, Wired card/camera/storage - PictBridge</t>
  </si>
  <si>
    <t>13X19</t>
  </si>
  <si>
    <t>Optional</t>
  </si>
  <si>
    <t>Memory , Power-supply size &gt; 10W</t>
  </si>
  <si>
    <t>8.5 x 24</t>
  </si>
  <si>
    <t>Wired ≥ 20 MHz and &lt; 500 MHz - USB 2.x, Wired ≥ 500 MHz - 1 G Ethernet</t>
  </si>
  <si>
    <t>Memory , Power-supply size &gt; 10W , Wired card/camera/storage - PictBridge</t>
  </si>
  <si>
    <t>Memory , Power-supply size &gt; 10W , Wired card/camera/storage - PictBridge, Wireless - 802.11</t>
  </si>
  <si>
    <t>Wired ≥ 20 MHz and &lt; 500 MHz - USB 2.x, Wireless - Bluetooth, Wireless - 802.11</t>
  </si>
  <si>
    <t>Memory , Power-supply size &gt; 10W , Wired card/camera/storage - flash memory-card/smart-card reader, Wired card/camera/storage - PictBridge</t>
  </si>
  <si>
    <t>Memory , PC-based system , Power-supply size &gt; 10W , Wired ≥ 20 MHz and &lt; 500 MHz - USB 2.x</t>
  </si>
  <si>
    <t>Memory , Power-supply size &gt; 10W , Wired ≥ 20 MHz and &lt; 500 MHz - USB 2.x, Wired card/camera/storage - flash memory-card/smart-card reader, Wired card/camera/storage - PictBridge</t>
  </si>
  <si>
    <t>17 x 709</t>
  </si>
  <si>
    <t>86 x 3.09</t>
  </si>
  <si>
    <t>24 x 709</t>
  </si>
  <si>
    <t>24 x709</t>
  </si>
  <si>
    <t>36 x709</t>
  </si>
  <si>
    <t>36 x 709</t>
  </si>
  <si>
    <t>44 x 709</t>
  </si>
  <si>
    <t>44x709</t>
  </si>
  <si>
    <t>60 x 709</t>
  </si>
  <si>
    <t>60x709</t>
  </si>
  <si>
    <t>64x48</t>
  </si>
  <si>
    <t>Wired ≥ 20 MHz and &lt; 500 MHz - IEEE 1394/FireWire/i.LINK, Wired ≥ 500 MHz - 1 G Ethernet</t>
  </si>
  <si>
    <t>Power-supply size &gt; 10W</t>
  </si>
  <si>
    <t>17x22</t>
  </si>
  <si>
    <t>Wired ≥ 20 MHz and &lt; 500 MHz - IEEE 1394/FireWire/i.LINK</t>
  </si>
  <si>
    <t>Power-supply size &gt; 10W , Wired ≥ 20 MHz and &lt; 500 MHz - IEEE 1394/FireWire/i.LINK</t>
  </si>
  <si>
    <t>24x36</t>
  </si>
  <si>
    <t>44x36</t>
  </si>
  <si>
    <t>Wired ≥ 20 MHz and &lt; 500 MHz - IEEE 1394/FireWire/i.LINK, Wired ≥ 20 MHz and &lt; 500 MHz - 100 Mb Ethernet</t>
  </si>
  <si>
    <t>18 x 24</t>
  </si>
  <si>
    <t>Memory , PC-based system , Power-supply size &gt; 10W , Wired &lt; 20 MHz - IEEE 1284/Parallel/Centronics</t>
  </si>
  <si>
    <t>Wired ≥ 500 MHz - 1 G Ethernet</t>
  </si>
  <si>
    <t>Memory , Power-supply size &gt; 10W , Wired ≥ 20 MHz and &lt; 500 MHz - USB 2.x</t>
  </si>
  <si>
    <t>Memory , Power-supply size &gt; 10W , Wired &lt; 20 MHz - IEEE 1284/Parallel/Centronics</t>
  </si>
  <si>
    <t>Memory , Power-supply size &gt; 10W , Wired ≥ 20 MHz and &lt; 500 MHz - 100 Mb Ethernet, Wired ≥ 20 MHz and &lt; 500 MHz - IEEE 1394/FireWire/i.LINK</t>
  </si>
  <si>
    <t>Wired ≥ 20 MHz and &lt; 500 MHz - 100 Mb Ethernet</t>
  </si>
  <si>
    <t>Memory , Power-supply size &gt; 10W , Wired ≥ 20 MHz and &lt; 500 MHz - IEEE 1394/FireWire/i.LINK</t>
  </si>
  <si>
    <t>Memory , Power-supply size &gt; 10W , Storage - disk drive, Wired &lt; 20 MHz - IEEE 1284/Parallel/Centronics, Wired ≥ 20 MHz and &lt; 500 MHz - USB 2.x</t>
  </si>
  <si>
    <t>91.4x60</t>
  </si>
  <si>
    <t>Mailing Machines</t>
  </si>
  <si>
    <t>N/A</t>
  </si>
  <si>
    <t>15 x 13</t>
  </si>
  <si>
    <t>Wired &lt; 20 MHz - RS232</t>
  </si>
  <si>
    <t>Power-supply size &gt; 10W , Wired &lt; 20 MHz - Other, Wired ≥ 20 MHz and &lt; 500 MHz - USB 2.x, Wired ≥ 20 MHz and &lt; 500 MHz - USB 2.x, Wired ≥ 20 MHz and &lt; 500 MHz - USB 2.x</t>
  </si>
  <si>
    <t>13 x 15</t>
  </si>
  <si>
    <t>Power-supply size &gt; 10W , Wired &lt; 20 MHz - Other, Wired &lt; 20 MHz - USB 1.x</t>
  </si>
  <si>
    <t>Power-supply size &gt; 10W , Wired &lt; 20 MHz - RS232, Wired &lt; 20 MHz - USB 1.x</t>
  </si>
  <si>
    <t>15x13</t>
  </si>
  <si>
    <t>Power-supply size &gt; 10W , Wired &lt; 20 MHz - Other, Wired ≥ 20 MHz and &lt; 500 MHz - USB 2.x</t>
  </si>
  <si>
    <t>Small</t>
  </si>
  <si>
    <t>Thermal Transfer (TT)</t>
  </si>
  <si>
    <t>5x200</t>
  </si>
  <si>
    <t>Wired &lt; 20 MHz - RS232, Wired ≥ 20 MHz and &lt; 500 MHz - USB 2.x, Wired ≥ 20 MHz and &lt; 500 MHz - 100 Mb Ethernet</t>
  </si>
  <si>
    <t>Power-supply size &gt; 10W , Wired &lt; 20 MHz - USB 1.x, Wired card/camera/storage - flash memory-card/smart-card reader</t>
  </si>
  <si>
    <t>10x200</t>
  </si>
  <si>
    <t>Power-supply size &gt; 10W , Wired &lt; 20 MHz - USB 1.x, Wired &lt; 20 MHz - USB 1.x, Wired card/camera/storage - flash memory-card/smart-card reader, Wired card/camera/storage - flash memory-card/smart-card reader</t>
  </si>
  <si>
    <t>15x200</t>
  </si>
  <si>
    <t>21x200</t>
  </si>
  <si>
    <t>4x8</t>
  </si>
  <si>
    <t>4 x 6</t>
  </si>
  <si>
    <t>Wired ≥ 20 MHz and &lt; 500 MHz - USB 2.x, Wired card/camera/storage - flash memory-card/smart-card reader</t>
  </si>
  <si>
    <t>Power-supply size &gt; 10W , Wired card/camera/storage - flash memory-card/smart-card reader, Wired card/camera/storage - PictBridge</t>
  </si>
  <si>
    <t>Power-supply size &gt; 10W , Storage - DVD drive, Wired card/camera/storage - flash memory-card/smart-card reader, Wired card/camera/storage - PictBridge</t>
  </si>
  <si>
    <t>Impact</t>
  </si>
  <si>
    <t>6.5x14</t>
  </si>
  <si>
    <t>Wired &lt; 20 MHz - IEEE 1284/Parallel/Centronics, Wired &lt; 20 MHz - USB 1.x</t>
  </si>
  <si>
    <t>9.7x14</t>
  </si>
  <si>
    <t>Wired &lt; 20 MHz - IEEE 1284/Parallel/Centronics, Wired &lt; 20 MHz - RS232, Wired &lt; 20 MHz - USB 1.x</t>
  </si>
  <si>
    <t>8x100</t>
  </si>
  <si>
    <t>14x14</t>
  </si>
  <si>
    <t>8x8</t>
  </si>
  <si>
    <t>10 Wide</t>
  </si>
  <si>
    <t>Wired &lt; 20 MHz - USB 1.x, Wired &lt; 20 MHz - RS232</t>
  </si>
  <si>
    <t>Power-supply size &gt; 10W , Wired &lt; 20 MHz - IEEE 1284/Parallel/Centronics</t>
  </si>
  <si>
    <t>10 x 17</t>
  </si>
  <si>
    <t>Wired &lt; 20 MHz - USB 1.x, Wired &lt; 20 MHz - IEEE 1284/Parallel/Centronics</t>
  </si>
  <si>
    <t>Power-supply size &gt; 10W , Wired ≥ 20 MHz and &lt; 500 MHz - 100 Mb Ethernet</t>
  </si>
  <si>
    <t>21x 29.7</t>
  </si>
  <si>
    <t>Memory , Power-supply size &gt; 10W , Scanners with non-CCFL lamps - Light-Emitting Diodes (LED), Wired &lt; 20 MHz - IEEE 1284/Parallel/Centronics, Wired &lt; 20 MHz - RS232</t>
  </si>
  <si>
    <t>Scanners</t>
  </si>
  <si>
    <t>Scanners with CCFL lamps</t>
  </si>
  <si>
    <t>NA</t>
  </si>
  <si>
    <t>11.6x17</t>
  </si>
  <si>
    <t>11.7x17</t>
  </si>
  <si>
    <t>8.5x14.5</t>
  </si>
  <si>
    <t>11.69x17</t>
  </si>
  <si>
    <t>8.5*14</t>
  </si>
  <si>
    <t>9.3 X 14/ 23.6 X 35.56</t>
  </si>
  <si>
    <t>8 1/2 x 14 / 21.6 x 35.56</t>
  </si>
  <si>
    <t>8 1/2 x 14/ 21.6 x 35.56</t>
  </si>
  <si>
    <t>4.2 x 9.0/ 10.6 x 22.8</t>
  </si>
  <si>
    <t>30.5x100</t>
  </si>
  <si>
    <t>8 1/2 x14/ 21.6 x 35.56</t>
  </si>
  <si>
    <t>8 1/2 x 14/21.6 x 35.6</t>
  </si>
  <si>
    <t>0 MB</t>
  </si>
  <si>
    <t>0.0 MB</t>
  </si>
  <si>
    <t>8.5x34</t>
  </si>
  <si>
    <t>&lt;1</t>
  </si>
  <si>
    <t>11.7 x 8.5</t>
  </si>
  <si>
    <t>12.3 x 8.5</t>
  </si>
  <si>
    <t>14 x 8.5</t>
  </si>
  <si>
    <t>35.4 x 24.8</t>
  </si>
  <si>
    <t>1000 x 36</t>
  </si>
  <si>
    <t>23.3 x 16.5</t>
  </si>
  <si>
    <t>Memory , Power-supply size &gt; 10W , Scanners with non-CCFL lamps - Hot-Cathode Fluorescent Tube (HCFT)</t>
  </si>
  <si>
    <t>17.7 x 12.2</t>
  </si>
  <si>
    <t>Memory , Power-supply size &gt; 10W , Scanners with non-CCFL lamps - Light-Emitting Diodes (LED), Storage - disk drive, Storage - Other</t>
  </si>
  <si>
    <t>34 x 8.5</t>
  </si>
  <si>
    <t>Memory , PC-based system , Scanners with CCFL lamps</t>
  </si>
  <si>
    <t>11.7 x 34.0</t>
  </si>
  <si>
    <t>34 x 12</t>
  </si>
  <si>
    <t>Memory , PC-based system , Scanners with non-CCFL lamps - Xenon</t>
  </si>
  <si>
    <t>34 x 11.7</t>
  </si>
  <si>
    <t>8.5x36</t>
  </si>
  <si>
    <t>Scanners with non-CCFL lamps - Other , Wired ≥ 20 MHz and &lt; 500 MHz - USB 2.x</t>
  </si>
  <si>
    <t>11.7 x 17</t>
  </si>
  <si>
    <t>Scanners with non-CCFL lamps - Hot-Cathode Fluorescent Tube (HCFT), Wired ≥ 20 MHz and &lt; 500 MHz - USB 2.x</t>
  </si>
  <si>
    <t>11.7 X 17</t>
  </si>
  <si>
    <t>8.6 x 101.6</t>
  </si>
  <si>
    <t>Scanners with CCFL lamps , Wired &lt; 20 MHz - USB 1.x</t>
  </si>
  <si>
    <t>Scanners with CCFL lamps , Wired ≥ 20 MHz and &lt; 500 MHz - USB 2.x</t>
  </si>
  <si>
    <t>8.5 x 25</t>
  </si>
  <si>
    <t>11.7 x 25</t>
  </si>
  <si>
    <t>9.25x4.25</t>
  </si>
  <si>
    <t>Wired &lt; 20 MHz - IEEE 1284/Parallel/Centronics</t>
  </si>
  <si>
    <t>Wired &lt; 20 MHz - RS232, Wired ≥ 20 MHz and &lt; 500 MHz - 100 Mb Ethernet</t>
  </si>
  <si>
    <t>Solid Ink (SI)</t>
  </si>
  <si>
    <t>42x1500</t>
  </si>
  <si>
    <t>Wired &lt; 20 MHz - RS232, Wired ≥ 20 MHz and &lt; 500 MHz - USB 2.x, Wired ≥ 500 MHz - 1 G Ethernet</t>
  </si>
  <si>
    <t>Memory , PC-based system , Power-supply size &gt; 10W , Storage - disk drive, Storage - disk drive, Wired &lt; 20 MHz - IEEE 1284/Parallel/Centronics</t>
  </si>
  <si>
    <t>Wired ≥ 20 MHz and &lt; 500 MHz - Other, Wired ≥ 500 MHz - Other</t>
  </si>
  <si>
    <t>Memory , PC-based system , Power-supply size &gt; 10W , Wired ≥ 20 MHz and &lt; 500 MHz - Other</t>
  </si>
  <si>
    <t>Memory , PC-based system , Power-supply size &gt; 10W , Storage - disk drive, Storage - disk drive, Wired ≥ 20 MHz and &lt; 500 MHz - USB 2.x</t>
  </si>
  <si>
    <t>Memory , PC-based system , Power-supply size &gt; 10W , Scanners with non-CCFL lamps - Xenon</t>
  </si>
  <si>
    <t>Memory , PC-based system , Power-supply size &gt; 10W , Scanners with non-CCFL lamps - Xenon, Storage - disk drive</t>
  </si>
  <si>
    <t>16 Wide</t>
  </si>
  <si>
    <t>16Wide</t>
  </si>
  <si>
    <t>16.5 Wide</t>
  </si>
  <si>
    <t>17 x Continuous Form</t>
  </si>
  <si>
    <t>Qualify Under Tier 2?</t>
  </si>
  <si>
    <t>Eliminating PSOR Adder</t>
  </si>
  <si>
    <t>YES</t>
  </si>
  <si>
    <t>NO-standby</t>
  </si>
  <si>
    <t>NO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</si>
</sst>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  <numFmt numFmtId="169" formatCode="[$-409]dddd\,\ mmmm\ dd\,\ yyyy"/>
    <numFmt numFmtId="170" formatCode="mm/dd/yyyy"/>
    <numFmt numFmtId="171" formatCode="mmm\-yyyy"/>
    <numFmt numFmtId="172" formatCode="0.0%"/>
  </numFmts>
  <fonts count="9">
    <font>
      <sz val="10"/>
      <name val="Arial"/>
      <family val="0"/>
    </font>
    <font>
      <sz val="10"/>
      <name val="Helv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name val="돋움"/>
      <family val="3"/>
    </font>
    <font>
      <sz val="12"/>
      <name val="Osaka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</cellStyleXfs>
  <cellXfs count="17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2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5" fillId="3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  <cellStyle name="표준_General" xfId="23"/>
    <cellStyle name="標準_別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4408\Local%20Settings\Temporary%20Internet%20Files\OLK21\Imaging%20QPI%20Form_Grenache%20PortMLK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4408\Local%20Settings\Temporary%20Internet%20Files\OLK21\consolidated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Product Qualification"/>
      <sheetName val="RefTEC"/>
      <sheetName val="RefOM"/>
      <sheetName val="RefOM1"/>
      <sheetName val="Ref3"/>
    </sheetNames>
    <sheetDataSet>
      <sheetData sheetId="5">
        <row r="2">
          <cell r="B2" t="str">
            <v>Large</v>
          </cell>
          <cell r="C2" t="str">
            <v>Direct Thermal (DT)</v>
          </cell>
          <cell r="L2" t="str">
            <v>Monochrome</v>
          </cell>
          <cell r="N2" t="str">
            <v>Yes</v>
          </cell>
        </row>
        <row r="3">
          <cell r="B3" t="str">
            <v>Small</v>
          </cell>
          <cell r="C3" t="str">
            <v>Dye Sublimation (DS)</v>
          </cell>
          <cell r="L3" t="str">
            <v>Color</v>
          </cell>
          <cell r="N3" t="str">
            <v>No</v>
          </cell>
        </row>
        <row r="4">
          <cell r="B4" t="str">
            <v>Standard</v>
          </cell>
          <cell r="C4" t="str">
            <v>Electrophotography (EP)</v>
          </cell>
          <cell r="L4" t="str">
            <v>N/A</v>
          </cell>
          <cell r="N4" t="str">
            <v>Optional accessory</v>
          </cell>
        </row>
        <row r="5">
          <cell r="B5" t="str">
            <v>N/A</v>
          </cell>
          <cell r="C5" t="str">
            <v>Impact</v>
          </cell>
        </row>
        <row r="6">
          <cell r="C6" t="str">
            <v>Ink Jet (IJ)</v>
          </cell>
        </row>
        <row r="7">
          <cell r="C7" t="str">
            <v>Solid Ink (SI)</v>
          </cell>
        </row>
        <row r="8">
          <cell r="C8" t="str">
            <v>Stencil</v>
          </cell>
        </row>
        <row r="9">
          <cell r="C9" t="str">
            <v>Thermal Transfer (TT)</v>
          </cell>
        </row>
        <row r="10">
          <cell r="C10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Product Qualification"/>
      <sheetName val="RefTEC"/>
      <sheetName val="RefOM"/>
      <sheetName val="RefOM1"/>
      <sheetName val="Ref3"/>
    </sheetNames>
    <sheetDataSet>
      <sheetData sheetId="5">
        <row r="2">
          <cell r="A2" t="str">
            <v>Copier</v>
          </cell>
        </row>
        <row r="3">
          <cell r="A3" t="str">
            <v>Digital Duplicator</v>
          </cell>
        </row>
        <row r="4">
          <cell r="A4" t="str">
            <v>Facsimile Machine (Fax Machine)</v>
          </cell>
        </row>
        <row r="5">
          <cell r="A5" t="str">
            <v>Mailing Machine</v>
          </cell>
        </row>
        <row r="6">
          <cell r="A6" t="str">
            <v>Multifunction Device (MFD)</v>
          </cell>
        </row>
        <row r="7">
          <cell r="A7" t="str">
            <v>Printer</v>
          </cell>
        </row>
        <row r="8">
          <cell r="A8" t="str">
            <v>Scanner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Z13"/>
  <sheetViews>
    <sheetView showZeros="0" tabSelected="1" zoomScale="70" zoomScaleNormal="70" workbookViewId="0" topLeftCell="A1">
      <selection activeCell="V9" sqref="V9"/>
    </sheetView>
  </sheetViews>
  <sheetFormatPr defaultColWidth="9.140625" defaultRowHeight="12.75"/>
  <cols>
    <col min="1" max="1" width="10.140625" style="0" customWidth="1"/>
    <col min="2" max="25" width="15.7109375" style="0" customWidth="1"/>
    <col min="26" max="26" width="15.7109375" style="9" customWidth="1"/>
  </cols>
  <sheetData>
    <row r="1" spans="1:2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5" t="s">
        <v>224</v>
      </c>
      <c r="X1" s="15"/>
      <c r="Y1" s="15"/>
      <c r="Z1" s="7"/>
    </row>
    <row r="2" spans="1:26" s="3" customFormat="1" ht="63.7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12" t="s">
        <v>18</v>
      </c>
      <c r="X2" s="12" t="s">
        <v>20</v>
      </c>
      <c r="Y2" s="12" t="s">
        <v>21</v>
      </c>
      <c r="Z2" s="10" t="s">
        <v>223</v>
      </c>
    </row>
    <row r="3" spans="1:26" ht="24">
      <c r="A3" s="4">
        <v>1</v>
      </c>
      <c r="B3" s="4" t="s">
        <v>22</v>
      </c>
      <c r="C3" s="5" t="s">
        <v>23</v>
      </c>
      <c r="D3" s="5" t="s">
        <v>24</v>
      </c>
      <c r="E3" s="5" t="s">
        <v>25</v>
      </c>
      <c r="F3" s="5" t="s">
        <v>26</v>
      </c>
      <c r="G3" s="5"/>
      <c r="H3" s="5" t="s">
        <v>27</v>
      </c>
      <c r="I3" s="5">
        <v>4</v>
      </c>
      <c r="J3" s="5"/>
      <c r="K3" s="5"/>
      <c r="L3" s="6">
        <v>1</v>
      </c>
      <c r="M3" s="5"/>
      <c r="N3" s="5"/>
      <c r="O3" s="5"/>
      <c r="P3" s="5"/>
      <c r="Q3" s="6"/>
      <c r="R3" s="6"/>
      <c r="S3" s="6"/>
      <c r="T3" s="6"/>
      <c r="U3" s="6"/>
      <c r="V3" s="6">
        <f>L3</f>
        <v>1</v>
      </c>
      <c r="W3" s="6"/>
      <c r="X3" s="6"/>
      <c r="Y3" s="6">
        <v>1</v>
      </c>
      <c r="Z3" s="11" t="s">
        <v>225</v>
      </c>
    </row>
    <row r="4" spans="1:26" ht="24">
      <c r="A4" s="4">
        <v>1</v>
      </c>
      <c r="B4" s="4" t="s">
        <v>22</v>
      </c>
      <c r="C4" s="5" t="s">
        <v>23</v>
      </c>
      <c r="D4" s="5" t="s">
        <v>24</v>
      </c>
      <c r="E4" s="5" t="s">
        <v>25</v>
      </c>
      <c r="F4" s="5" t="s">
        <v>28</v>
      </c>
      <c r="G4" s="5">
        <v>0.01</v>
      </c>
      <c r="H4" s="5" t="s">
        <v>27</v>
      </c>
      <c r="I4" s="5">
        <v>43</v>
      </c>
      <c r="J4" s="5"/>
      <c r="K4" s="5">
        <v>13.4</v>
      </c>
      <c r="L4" s="6">
        <v>8.5</v>
      </c>
      <c r="M4" s="5"/>
      <c r="N4" s="5">
        <v>0</v>
      </c>
      <c r="O4" s="5">
        <v>0</v>
      </c>
      <c r="P4" s="5"/>
      <c r="Q4" s="6"/>
      <c r="R4" s="6"/>
      <c r="S4" s="6"/>
      <c r="T4" s="6">
        <v>1200</v>
      </c>
      <c r="U4" s="6"/>
      <c r="V4" s="6">
        <f>L4</f>
        <v>8.5</v>
      </c>
      <c r="W4" s="6"/>
      <c r="X4" s="6"/>
      <c r="Y4" s="6">
        <v>8.5</v>
      </c>
      <c r="Z4" s="11" t="s">
        <v>225</v>
      </c>
    </row>
    <row r="5" spans="1:26" ht="96">
      <c r="A5" s="4">
        <v>1</v>
      </c>
      <c r="B5" s="4" t="s">
        <v>29</v>
      </c>
      <c r="C5" s="5" t="s">
        <v>23</v>
      </c>
      <c r="D5" s="5" t="s">
        <v>24</v>
      </c>
      <c r="E5" s="5" t="s">
        <v>25</v>
      </c>
      <c r="F5" s="5" t="s">
        <v>30</v>
      </c>
      <c r="G5" s="5">
        <v>512</v>
      </c>
      <c r="H5" s="5" t="s">
        <v>27</v>
      </c>
      <c r="I5" s="5">
        <v>42</v>
      </c>
      <c r="J5" s="5"/>
      <c r="K5" s="5">
        <v>43.6</v>
      </c>
      <c r="L5" s="6">
        <v>43.6</v>
      </c>
      <c r="M5" s="5"/>
      <c r="N5" s="5">
        <v>10</v>
      </c>
      <c r="O5" s="5">
        <v>43.6</v>
      </c>
      <c r="P5" s="5" t="s">
        <v>31</v>
      </c>
      <c r="Q5" s="6">
        <f>0.5+0.5</f>
        <v>1</v>
      </c>
      <c r="R5" s="6" t="s">
        <v>32</v>
      </c>
      <c r="S5" s="6">
        <f>((G5/1000)+(0.05*(T5-10))+0.5+0.1+0.2)</f>
        <v>1.5370000000000001</v>
      </c>
      <c r="T5" s="6">
        <v>14.5</v>
      </c>
      <c r="U5" s="6">
        <f>Q5+S5</f>
        <v>2.537</v>
      </c>
      <c r="V5" s="6">
        <f>L5-U5</f>
        <v>41.063</v>
      </c>
      <c r="W5" s="6">
        <v>1.312</v>
      </c>
      <c r="X5" s="6">
        <v>2.3120000000000003</v>
      </c>
      <c r="Y5" s="6">
        <v>41.288000000000004</v>
      </c>
      <c r="Z5" s="11" t="s">
        <v>226</v>
      </c>
    </row>
    <row r="6" spans="1:26" ht="120">
      <c r="A6" s="4">
        <v>1</v>
      </c>
      <c r="B6" s="4" t="s">
        <v>29</v>
      </c>
      <c r="C6" s="5" t="s">
        <v>23</v>
      </c>
      <c r="D6" s="5" t="s">
        <v>24</v>
      </c>
      <c r="E6" s="5" t="s">
        <v>25</v>
      </c>
      <c r="F6" s="5" t="s">
        <v>35</v>
      </c>
      <c r="G6" s="5">
        <v>512</v>
      </c>
      <c r="H6" s="5" t="s">
        <v>27</v>
      </c>
      <c r="I6" s="5">
        <v>58.5</v>
      </c>
      <c r="J6" s="5"/>
      <c r="K6" s="5">
        <v>107.55</v>
      </c>
      <c r="L6" s="6">
        <v>47.67</v>
      </c>
      <c r="M6" s="5"/>
      <c r="N6" s="5">
        <v>2.05</v>
      </c>
      <c r="O6" s="5">
        <v>0</v>
      </c>
      <c r="P6" s="5" t="s">
        <v>36</v>
      </c>
      <c r="Q6" s="6">
        <f>0.5+0.5+1.5</f>
        <v>2.5</v>
      </c>
      <c r="R6" s="6" t="s">
        <v>37</v>
      </c>
      <c r="S6" s="6">
        <f>((G6/1000)-0.5+(0.05*(T6-10))+0.5+0.2+0.2)</f>
        <v>67.59700000000001</v>
      </c>
      <c r="T6" s="6">
        <v>1343.7</v>
      </c>
      <c r="U6" s="6">
        <f>Q6+S6</f>
        <v>70.09700000000001</v>
      </c>
      <c r="V6" s="6">
        <f>L6-U6</f>
        <v>-22.427000000000007</v>
      </c>
      <c r="W6" s="6">
        <v>0.9119999999999999</v>
      </c>
      <c r="X6" s="6">
        <v>3.412</v>
      </c>
      <c r="Y6" s="6">
        <v>44.258</v>
      </c>
      <c r="Z6" s="11" t="s">
        <v>225</v>
      </c>
    </row>
    <row r="7" spans="1:26" ht="24">
      <c r="A7" s="4">
        <v>1</v>
      </c>
      <c r="B7" s="4" t="s">
        <v>22</v>
      </c>
      <c r="C7" s="5" t="s">
        <v>23</v>
      </c>
      <c r="D7" s="5" t="s">
        <v>24</v>
      </c>
      <c r="E7" s="5" t="s">
        <v>25</v>
      </c>
      <c r="F7" s="5" t="s">
        <v>33</v>
      </c>
      <c r="G7" s="5"/>
      <c r="H7" s="5" t="s">
        <v>27</v>
      </c>
      <c r="I7" s="5">
        <v>4</v>
      </c>
      <c r="J7" s="5"/>
      <c r="K7" s="5"/>
      <c r="L7" s="6">
        <v>45</v>
      </c>
      <c r="M7" s="5"/>
      <c r="N7" s="5">
        <v>25.83</v>
      </c>
      <c r="O7" s="5"/>
      <c r="P7" s="5"/>
      <c r="Q7" s="6"/>
      <c r="R7" s="6"/>
      <c r="S7" s="6"/>
      <c r="T7" s="6"/>
      <c r="U7" s="6"/>
      <c r="V7" s="6">
        <f>L7</f>
        <v>45</v>
      </c>
      <c r="W7" s="6"/>
      <c r="X7" s="6"/>
      <c r="Y7" s="6">
        <v>45</v>
      </c>
      <c r="Z7" s="11" t="s">
        <v>225</v>
      </c>
    </row>
    <row r="8" spans="1:26" ht="24">
      <c r="A8" s="4">
        <v>1</v>
      </c>
      <c r="B8" s="4" t="s">
        <v>22</v>
      </c>
      <c r="C8" s="5" t="s">
        <v>23</v>
      </c>
      <c r="D8" s="5" t="s">
        <v>24</v>
      </c>
      <c r="E8" s="5" t="s">
        <v>25</v>
      </c>
      <c r="F8" s="5" t="s">
        <v>34</v>
      </c>
      <c r="G8" s="5"/>
      <c r="H8" s="5" t="s">
        <v>27</v>
      </c>
      <c r="I8" s="5">
        <v>8</v>
      </c>
      <c r="J8" s="5"/>
      <c r="K8" s="5"/>
      <c r="L8" s="6">
        <v>45</v>
      </c>
      <c r="M8" s="5"/>
      <c r="N8" s="5"/>
      <c r="O8" s="5"/>
      <c r="P8" s="5"/>
      <c r="Q8" s="6"/>
      <c r="R8" s="6"/>
      <c r="S8" s="6"/>
      <c r="T8" s="6"/>
      <c r="U8" s="6"/>
      <c r="V8" s="6">
        <f>L8</f>
        <v>45</v>
      </c>
      <c r="W8" s="6"/>
      <c r="X8" s="6"/>
      <c r="Y8" s="6">
        <v>45</v>
      </c>
      <c r="Z8" s="11" t="s">
        <v>225</v>
      </c>
    </row>
    <row r="9" spans="1:26" ht="108">
      <c r="A9" s="4">
        <v>1</v>
      </c>
      <c r="B9" s="4" t="s">
        <v>29</v>
      </c>
      <c r="C9" s="5" t="s">
        <v>23</v>
      </c>
      <c r="D9" s="5" t="s">
        <v>24</v>
      </c>
      <c r="E9" s="5" t="s">
        <v>25</v>
      </c>
      <c r="F9" s="5" t="s">
        <v>38</v>
      </c>
      <c r="G9" s="5">
        <v>512</v>
      </c>
      <c r="H9" s="5" t="s">
        <v>27</v>
      </c>
      <c r="I9" s="5">
        <v>73.1</v>
      </c>
      <c r="J9" s="5"/>
      <c r="K9" s="5">
        <v>177.2</v>
      </c>
      <c r="L9" s="6">
        <v>55.9</v>
      </c>
      <c r="M9" s="5"/>
      <c r="N9" s="5">
        <v>2.1</v>
      </c>
      <c r="O9" s="5">
        <v>2.1</v>
      </c>
      <c r="P9" s="5" t="s">
        <v>36</v>
      </c>
      <c r="Q9" s="6">
        <f>0.5+0.5+1.5</f>
        <v>2.5</v>
      </c>
      <c r="R9" s="6" t="s">
        <v>39</v>
      </c>
      <c r="S9" s="6">
        <f>((G9/1000)-0.5+(0.05*(T9-10))+0.5+0.2+0.2)</f>
        <v>85.412</v>
      </c>
      <c r="T9" s="6">
        <v>1700</v>
      </c>
      <c r="U9" s="6">
        <f>Q9+S9</f>
        <v>87.912</v>
      </c>
      <c r="V9" s="6">
        <f>L9-U9</f>
        <v>-32.01200000000001</v>
      </c>
      <c r="W9" s="6">
        <v>0.9119999999999999</v>
      </c>
      <c r="X9" s="6">
        <v>3.412</v>
      </c>
      <c r="Y9" s="6">
        <v>52.488</v>
      </c>
      <c r="Z9" s="11" t="s">
        <v>226</v>
      </c>
    </row>
    <row r="10" spans="1:26" ht="168">
      <c r="A10" s="4">
        <v>1</v>
      </c>
      <c r="B10" s="4" t="s">
        <v>29</v>
      </c>
      <c r="C10" s="5" t="s">
        <v>23</v>
      </c>
      <c r="D10" s="5" t="s">
        <v>24</v>
      </c>
      <c r="E10" s="5" t="s">
        <v>25</v>
      </c>
      <c r="F10" s="5" t="s">
        <v>35</v>
      </c>
      <c r="G10" s="5">
        <v>1024</v>
      </c>
      <c r="H10" s="5" t="s">
        <v>27</v>
      </c>
      <c r="I10" s="5">
        <v>43</v>
      </c>
      <c r="J10" s="5"/>
      <c r="K10" s="5">
        <v>114.41</v>
      </c>
      <c r="L10" s="6">
        <v>57.31</v>
      </c>
      <c r="M10" s="5"/>
      <c r="N10" s="5">
        <v>2.05</v>
      </c>
      <c r="O10" s="5">
        <v>2.05</v>
      </c>
      <c r="P10" s="5" t="s">
        <v>40</v>
      </c>
      <c r="Q10" s="6">
        <f>1.5+0.5+0.5</f>
        <v>2.5</v>
      </c>
      <c r="R10" s="6" t="s">
        <v>41</v>
      </c>
      <c r="S10" s="6">
        <f>((G10/1000)+(0.05*(T10-10))+0.5+0.2+0.2+0.2)</f>
        <v>76.62400000000001</v>
      </c>
      <c r="T10" s="6">
        <v>1500</v>
      </c>
      <c r="U10" s="6">
        <f>Q10+S10</f>
        <v>79.12400000000001</v>
      </c>
      <c r="V10" s="6">
        <f>L10-U10</f>
        <v>-21.814000000000007</v>
      </c>
      <c r="W10" s="6">
        <v>2.124</v>
      </c>
      <c r="X10" s="6">
        <v>4.6240000000000006</v>
      </c>
      <c r="Y10" s="6">
        <v>52.686</v>
      </c>
      <c r="Z10" s="11" t="s">
        <v>226</v>
      </c>
    </row>
    <row r="11" spans="1:26" ht="132">
      <c r="A11" s="4">
        <v>1</v>
      </c>
      <c r="B11" s="4" t="s">
        <v>29</v>
      </c>
      <c r="C11" s="5" t="s">
        <v>23</v>
      </c>
      <c r="D11" s="5" t="s">
        <v>24</v>
      </c>
      <c r="E11" s="5" t="s">
        <v>25</v>
      </c>
      <c r="F11" s="5" t="s">
        <v>42</v>
      </c>
      <c r="G11" s="5">
        <v>512</v>
      </c>
      <c r="H11" s="5" t="s">
        <v>27</v>
      </c>
      <c r="I11" s="5">
        <v>87.7</v>
      </c>
      <c r="J11" s="5"/>
      <c r="K11" s="5">
        <v>174.7</v>
      </c>
      <c r="L11" s="6">
        <v>63.8</v>
      </c>
      <c r="M11" s="5"/>
      <c r="N11" s="5">
        <v>0.7</v>
      </c>
      <c r="O11" s="5">
        <v>0.7</v>
      </c>
      <c r="P11" s="5" t="s">
        <v>43</v>
      </c>
      <c r="Q11" s="6">
        <f>0.3+0.5+1.5</f>
        <v>2.3</v>
      </c>
      <c r="R11" s="6" t="s">
        <v>44</v>
      </c>
      <c r="S11" s="6">
        <f>((G11/1000)-0.5+(0.05*(T11-10))+0.5+0.2+0.2+0.2)</f>
        <v>85.61200000000001</v>
      </c>
      <c r="T11" s="6">
        <v>1700</v>
      </c>
      <c r="U11" s="6">
        <f>Q11+S11</f>
        <v>87.912</v>
      </c>
      <c r="V11" s="6">
        <f>L11-U11</f>
        <v>-24.11200000000001</v>
      </c>
      <c r="W11" s="6">
        <v>1.1119999999999999</v>
      </c>
      <c r="X11" s="6">
        <v>3.412</v>
      </c>
      <c r="Y11" s="6">
        <v>60.388</v>
      </c>
      <c r="Z11" s="11" t="s">
        <v>225</v>
      </c>
    </row>
    <row r="12" spans="1:26" ht="120">
      <c r="A12" s="4">
        <v>1</v>
      </c>
      <c r="B12" s="4" t="s">
        <v>29</v>
      </c>
      <c r="C12" s="5" t="s">
        <v>23</v>
      </c>
      <c r="D12" s="5" t="s">
        <v>24</v>
      </c>
      <c r="E12" s="5" t="s">
        <v>25</v>
      </c>
      <c r="F12" s="5" t="s">
        <v>38</v>
      </c>
      <c r="G12" s="5">
        <v>512</v>
      </c>
      <c r="H12" s="5" t="s">
        <v>27</v>
      </c>
      <c r="I12" s="5">
        <v>87.7</v>
      </c>
      <c r="J12" s="5"/>
      <c r="K12" s="5">
        <v>174.7</v>
      </c>
      <c r="L12" s="6">
        <v>63.8</v>
      </c>
      <c r="M12" s="5"/>
      <c r="N12" s="5">
        <v>0.7</v>
      </c>
      <c r="O12" s="5">
        <v>0.7</v>
      </c>
      <c r="P12" s="5" t="s">
        <v>43</v>
      </c>
      <c r="Q12" s="6">
        <f>0.3+0.5+1.5</f>
        <v>2.3</v>
      </c>
      <c r="R12" s="6" t="s">
        <v>45</v>
      </c>
      <c r="S12" s="6">
        <f>((G12/1000)-0.5+(0.05*(T12-10))+0.5+0.2+0.2)</f>
        <v>85.412</v>
      </c>
      <c r="T12" s="6">
        <v>1700</v>
      </c>
      <c r="U12" s="6">
        <f>Q12+S12</f>
        <v>87.712</v>
      </c>
      <c r="V12" s="6">
        <f>L12-U12</f>
        <v>-23.912000000000006</v>
      </c>
      <c r="W12" s="6">
        <v>0.9119999999999999</v>
      </c>
      <c r="X12" s="6">
        <v>3.2119999999999997</v>
      </c>
      <c r="Y12" s="6">
        <v>60.587999999999994</v>
      </c>
      <c r="Z12" s="11" t="s">
        <v>225</v>
      </c>
    </row>
    <row r="13" spans="1:26" ht="132">
      <c r="A13" s="4">
        <v>1</v>
      </c>
      <c r="B13" s="4" t="s">
        <v>29</v>
      </c>
      <c r="C13" s="5" t="s">
        <v>23</v>
      </c>
      <c r="D13" s="5" t="s">
        <v>24</v>
      </c>
      <c r="E13" s="5" t="s">
        <v>25</v>
      </c>
      <c r="F13" s="5" t="s">
        <v>46</v>
      </c>
      <c r="G13" s="5">
        <v>512</v>
      </c>
      <c r="H13" s="5" t="s">
        <v>27</v>
      </c>
      <c r="I13" s="5">
        <v>195.52</v>
      </c>
      <c r="J13" s="5"/>
      <c r="K13" s="5">
        <v>1157.9</v>
      </c>
      <c r="L13" s="6">
        <v>65.8</v>
      </c>
      <c r="M13" s="5"/>
      <c r="N13" s="5">
        <v>7.863</v>
      </c>
      <c r="O13" s="5">
        <v>7.863</v>
      </c>
      <c r="P13" s="5" t="s">
        <v>36</v>
      </c>
      <c r="Q13" s="6">
        <f>0.5+0.5+1.5</f>
        <v>2.5</v>
      </c>
      <c r="R13" s="6" t="s">
        <v>44</v>
      </c>
      <c r="S13" s="6">
        <f>((G13/1000)-0.5+(0.05*(T13-10))+0.5+0.2+0.2+0.2)</f>
        <v>240.61199999999997</v>
      </c>
      <c r="T13" s="6">
        <v>4800</v>
      </c>
      <c r="U13" s="6">
        <f>Q13+S13</f>
        <v>243.11199999999997</v>
      </c>
      <c r="V13" s="6">
        <f>L13-U13</f>
        <v>-177.31199999999995</v>
      </c>
      <c r="W13" s="6">
        <v>1.1119999999999999</v>
      </c>
      <c r="X13" s="6">
        <v>3.612</v>
      </c>
      <c r="Y13" s="6">
        <v>62.187999999999995</v>
      </c>
      <c r="Z13" s="11" t="s">
        <v>226</v>
      </c>
    </row>
  </sheetData>
  <mergeCells count="1">
    <mergeCell ref="W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Z56"/>
  <sheetViews>
    <sheetView showZeros="0" zoomScale="70" zoomScaleNormal="70" workbookViewId="0" topLeftCell="A1">
      <selection activeCell="AA6" sqref="AA6"/>
    </sheetView>
  </sheetViews>
  <sheetFormatPr defaultColWidth="9.140625" defaultRowHeight="12.75"/>
  <cols>
    <col min="1" max="1" width="10.140625" style="0" customWidth="1"/>
    <col min="2" max="25" width="15.7109375" style="0" customWidth="1"/>
    <col min="26" max="26" width="15.7109375" style="9" customWidth="1"/>
  </cols>
  <sheetData>
    <row r="1" spans="1:2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5" t="s">
        <v>224</v>
      </c>
      <c r="X1" s="15"/>
      <c r="Y1" s="15"/>
      <c r="Z1" s="7"/>
    </row>
    <row r="2" spans="1:26" s="3" customFormat="1" ht="63.7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  <c r="U2" s="13" t="s">
        <v>20</v>
      </c>
      <c r="V2" s="13" t="s">
        <v>21</v>
      </c>
      <c r="W2" s="12" t="s">
        <v>18</v>
      </c>
      <c r="X2" s="12" t="s">
        <v>20</v>
      </c>
      <c r="Y2" s="12" t="s">
        <v>21</v>
      </c>
      <c r="Z2" s="10" t="s">
        <v>223</v>
      </c>
    </row>
    <row r="3" spans="1:26" ht="96">
      <c r="A3" s="4">
        <v>2</v>
      </c>
      <c r="B3" s="4" t="s">
        <v>29</v>
      </c>
      <c r="C3" s="5" t="s">
        <v>48</v>
      </c>
      <c r="D3" s="5" t="s">
        <v>49</v>
      </c>
      <c r="E3" s="5" t="s">
        <v>51</v>
      </c>
      <c r="F3" s="5" t="s">
        <v>54</v>
      </c>
      <c r="G3" s="5">
        <v>32</v>
      </c>
      <c r="H3" s="5" t="s">
        <v>53</v>
      </c>
      <c r="I3" s="5">
        <v>32</v>
      </c>
      <c r="J3" s="5">
        <v>27</v>
      </c>
      <c r="K3" s="5">
        <v>10.43</v>
      </c>
      <c r="L3" s="6">
        <v>0.34</v>
      </c>
      <c r="M3" s="5"/>
      <c r="N3" s="14">
        <v>0.34</v>
      </c>
      <c r="O3" s="14">
        <v>0.34</v>
      </c>
      <c r="P3" s="14" t="s">
        <v>55</v>
      </c>
      <c r="Q3" s="11">
        <f>0.5+3</f>
        <v>3.5</v>
      </c>
      <c r="R3" s="11" t="s">
        <v>56</v>
      </c>
      <c r="S3" s="11">
        <f>0.5+0.1+0.1+0.2</f>
        <v>0.8999999999999999</v>
      </c>
      <c r="T3" s="11">
        <v>32</v>
      </c>
      <c r="U3" s="11">
        <f>Q3+S3</f>
        <v>4.4</v>
      </c>
      <c r="V3" s="11">
        <f aca="true" t="shared" si="0" ref="V3:V10">L3-U3</f>
        <v>-4.0600000000000005</v>
      </c>
      <c r="W3" s="11">
        <v>0.9</v>
      </c>
      <c r="X3" s="11">
        <v>4.4</v>
      </c>
      <c r="Y3" s="11">
        <v>-4.06</v>
      </c>
      <c r="Z3" s="11" t="str">
        <f>IF(O3&lt;=1,IF(Y3&lt;=1,"YES","NO"),"NO-standby")</f>
        <v>YES</v>
      </c>
    </row>
    <row r="4" spans="1:26" ht="108">
      <c r="A4" s="4">
        <v>2</v>
      </c>
      <c r="B4" s="4" t="s">
        <v>78</v>
      </c>
      <c r="C4" s="5" t="s">
        <v>48</v>
      </c>
      <c r="D4" s="5" t="s">
        <v>49</v>
      </c>
      <c r="E4" s="5" t="s">
        <v>51</v>
      </c>
      <c r="F4" s="5" t="s">
        <v>69</v>
      </c>
      <c r="G4" s="5">
        <v>32</v>
      </c>
      <c r="H4" s="5" t="s">
        <v>27</v>
      </c>
      <c r="I4" s="5">
        <v>23</v>
      </c>
      <c r="J4" s="5">
        <v>16</v>
      </c>
      <c r="K4" s="5">
        <v>4.88</v>
      </c>
      <c r="L4" s="6">
        <v>4.88</v>
      </c>
      <c r="M4" s="5"/>
      <c r="N4" s="14">
        <v>0.41</v>
      </c>
      <c r="O4" s="14">
        <v>0.41</v>
      </c>
      <c r="P4" s="14" t="s">
        <v>90</v>
      </c>
      <c r="Q4" s="11">
        <f>0.5+3+3</f>
        <v>6.5</v>
      </c>
      <c r="R4" s="11" t="s">
        <v>91</v>
      </c>
      <c r="S4" s="11">
        <f>((G4/1000)+(0.05*(T4-10))+0.1+0.1)</f>
        <v>2.982</v>
      </c>
      <c r="T4" s="11">
        <v>65</v>
      </c>
      <c r="U4" s="11">
        <f aca="true" t="shared" si="1" ref="U4:U10">Q4+S4</f>
        <v>9.482</v>
      </c>
      <c r="V4" s="11">
        <f t="shared" si="0"/>
        <v>-4.601999999999999</v>
      </c>
      <c r="W4" s="11">
        <v>0.232</v>
      </c>
      <c r="X4" s="11">
        <v>6.732</v>
      </c>
      <c r="Y4" s="11">
        <v>-1.8520000000000003</v>
      </c>
      <c r="Z4" s="11" t="str">
        <f>IF(O4&lt;=1,IF(Y4&lt;=1,"YES","NO"),"NO-standby")</f>
        <v>YES</v>
      </c>
    </row>
    <row r="5" spans="1:26" ht="156">
      <c r="A5" s="4">
        <v>2</v>
      </c>
      <c r="B5" s="4" t="s">
        <v>29</v>
      </c>
      <c r="C5" s="5" t="s">
        <v>48</v>
      </c>
      <c r="D5" s="5" t="s">
        <v>49</v>
      </c>
      <c r="E5" s="5" t="s">
        <v>51</v>
      </c>
      <c r="F5" s="5" t="s">
        <v>57</v>
      </c>
      <c r="G5" s="5">
        <v>31.25</v>
      </c>
      <c r="H5" s="5" t="s">
        <v>27</v>
      </c>
      <c r="I5" s="5">
        <v>18</v>
      </c>
      <c r="J5" s="5">
        <v>18</v>
      </c>
      <c r="K5" s="5">
        <v>7</v>
      </c>
      <c r="L5" s="6">
        <v>1.3</v>
      </c>
      <c r="M5" s="5"/>
      <c r="N5" s="14">
        <v>0.2</v>
      </c>
      <c r="O5" s="14">
        <v>0.2</v>
      </c>
      <c r="P5" s="14" t="s">
        <v>58</v>
      </c>
      <c r="Q5" s="11">
        <f>0.5</f>
        <v>0.5</v>
      </c>
      <c r="R5" s="11" t="s">
        <v>65</v>
      </c>
      <c r="S5" s="11">
        <f>0.5+0.1+0.1+1</f>
        <v>1.7</v>
      </c>
      <c r="T5" s="11">
        <v>29.4</v>
      </c>
      <c r="U5" s="11">
        <f t="shared" si="1"/>
        <v>2.2</v>
      </c>
      <c r="V5" s="11">
        <f t="shared" si="0"/>
        <v>-0.9000000000000001</v>
      </c>
      <c r="W5" s="11">
        <v>1.7</v>
      </c>
      <c r="X5" s="11">
        <v>2.2</v>
      </c>
      <c r="Y5" s="11">
        <v>-0.9</v>
      </c>
      <c r="Z5" s="11" t="str">
        <f>IF(O5&lt;=1,IF(Y5&lt;=1,"YES","NO"),"NO-standby")</f>
        <v>YES</v>
      </c>
    </row>
    <row r="6" spans="1:26" ht="72">
      <c r="A6" s="4">
        <v>2</v>
      </c>
      <c r="B6" s="4" t="s">
        <v>78</v>
      </c>
      <c r="C6" s="5" t="s">
        <v>48</v>
      </c>
      <c r="D6" s="5" t="s">
        <v>49</v>
      </c>
      <c r="E6" s="5" t="s">
        <v>51</v>
      </c>
      <c r="F6" s="5" t="s">
        <v>86</v>
      </c>
      <c r="G6" s="5">
        <v>32</v>
      </c>
      <c r="H6" s="5" t="s">
        <v>84</v>
      </c>
      <c r="I6" s="5">
        <v>36</v>
      </c>
      <c r="J6" s="5">
        <v>27</v>
      </c>
      <c r="K6" s="5">
        <v>3</v>
      </c>
      <c r="L6" s="6">
        <v>3</v>
      </c>
      <c r="M6" s="5"/>
      <c r="N6" s="14">
        <v>0.2</v>
      </c>
      <c r="O6" s="14">
        <v>0.2</v>
      </c>
      <c r="P6" s="14" t="s">
        <v>87</v>
      </c>
      <c r="Q6" s="11">
        <f>0.5+1.5</f>
        <v>2</v>
      </c>
      <c r="R6" s="11" t="s">
        <v>89</v>
      </c>
      <c r="S6" s="11">
        <f>((G6/1000)+(0.05*(T6-10))+0.1+0.7)</f>
        <v>2.832</v>
      </c>
      <c r="T6" s="11">
        <v>50</v>
      </c>
      <c r="U6" s="11">
        <f t="shared" si="1"/>
        <v>4.832</v>
      </c>
      <c r="V6" s="11">
        <f t="shared" si="0"/>
        <v>-1.8319999999999999</v>
      </c>
      <c r="W6" s="11">
        <v>0.832</v>
      </c>
      <c r="X6" s="11">
        <v>2.832</v>
      </c>
      <c r="Y6" s="11">
        <v>0.16800000000000015</v>
      </c>
      <c r="Z6" s="11" t="str">
        <f>IF(O6&lt;=1,IF(Y6&lt;=1,"YES","NO"),"NO-standby")</f>
        <v>YES</v>
      </c>
    </row>
    <row r="7" spans="1:26" ht="156">
      <c r="A7" s="4">
        <v>2</v>
      </c>
      <c r="B7" s="4" t="s">
        <v>29</v>
      </c>
      <c r="C7" s="5" t="s">
        <v>48</v>
      </c>
      <c r="D7" s="5" t="s">
        <v>49</v>
      </c>
      <c r="E7" s="5" t="s">
        <v>51</v>
      </c>
      <c r="F7" s="5" t="s">
        <v>57</v>
      </c>
      <c r="G7" s="5">
        <v>7.8125</v>
      </c>
      <c r="H7" s="5" t="s">
        <v>27</v>
      </c>
      <c r="I7" s="5">
        <v>16</v>
      </c>
      <c r="J7" s="5">
        <v>16</v>
      </c>
      <c r="K7" s="5">
        <v>5</v>
      </c>
      <c r="L7" s="6">
        <v>2.4</v>
      </c>
      <c r="M7" s="5"/>
      <c r="N7" s="14">
        <v>0.2</v>
      </c>
      <c r="O7" s="14">
        <v>0.2</v>
      </c>
      <c r="P7" s="14" t="s">
        <v>58</v>
      </c>
      <c r="Q7" s="11">
        <f>0.5</f>
        <v>0.5</v>
      </c>
      <c r="R7" s="11" t="s">
        <v>65</v>
      </c>
      <c r="S7" s="11">
        <f>0.5+0.1+0.1+1</f>
        <v>1.7</v>
      </c>
      <c r="T7" s="11">
        <v>29.4</v>
      </c>
      <c r="U7" s="11">
        <f t="shared" si="1"/>
        <v>2.2</v>
      </c>
      <c r="V7" s="11">
        <f t="shared" si="0"/>
        <v>0.19999999999999973</v>
      </c>
      <c r="W7" s="11">
        <v>1.7</v>
      </c>
      <c r="X7" s="11">
        <v>2.2</v>
      </c>
      <c r="Y7" s="11">
        <v>0.2</v>
      </c>
      <c r="Z7" s="11" t="str">
        <f>IF(O7&lt;=1,IF(Y7&lt;=1,"YES","NO"),"NO-standby")</f>
        <v>YES</v>
      </c>
    </row>
    <row r="8" spans="1:26" ht="156">
      <c r="A8" s="4">
        <v>2</v>
      </c>
      <c r="B8" s="4" t="s">
        <v>29</v>
      </c>
      <c r="C8" s="5" t="s">
        <v>48</v>
      </c>
      <c r="D8" s="5" t="s">
        <v>49</v>
      </c>
      <c r="E8" s="5" t="s">
        <v>51</v>
      </c>
      <c r="F8" s="5" t="s">
        <v>57</v>
      </c>
      <c r="G8" s="5">
        <v>7.8125</v>
      </c>
      <c r="H8" s="5" t="s">
        <v>27</v>
      </c>
      <c r="I8" s="5">
        <v>16</v>
      </c>
      <c r="J8" s="5">
        <v>16</v>
      </c>
      <c r="K8" s="5">
        <v>5</v>
      </c>
      <c r="L8" s="6">
        <v>2.4</v>
      </c>
      <c r="M8" s="5"/>
      <c r="N8" s="14">
        <v>0.2</v>
      </c>
      <c r="O8" s="14">
        <v>0.2</v>
      </c>
      <c r="P8" s="14" t="s">
        <v>58</v>
      </c>
      <c r="Q8" s="11">
        <f>0.5</f>
        <v>0.5</v>
      </c>
      <c r="R8" s="11" t="s">
        <v>65</v>
      </c>
      <c r="S8" s="11">
        <f>0.5+0.1+0.1+1</f>
        <v>1.7</v>
      </c>
      <c r="T8" s="11">
        <v>29.4</v>
      </c>
      <c r="U8" s="11">
        <f t="shared" si="1"/>
        <v>2.2</v>
      </c>
      <c r="V8" s="11">
        <f t="shared" si="0"/>
        <v>0.19999999999999973</v>
      </c>
      <c r="W8" s="11">
        <v>1.7</v>
      </c>
      <c r="X8" s="11">
        <v>2.2</v>
      </c>
      <c r="Y8" s="11">
        <v>0.2</v>
      </c>
      <c r="Z8" s="11" t="str">
        <f>IF(O8&lt;=1,IF(Y8&lt;=1,"YES","NO"),"NO-standby")</f>
        <v>YES</v>
      </c>
    </row>
    <row r="9" spans="1:26" ht="156">
      <c r="A9" s="4">
        <v>2</v>
      </c>
      <c r="B9" s="4" t="s">
        <v>29</v>
      </c>
      <c r="C9" s="5" t="s">
        <v>48</v>
      </c>
      <c r="D9" s="5" t="s">
        <v>49</v>
      </c>
      <c r="E9" s="5" t="s">
        <v>51</v>
      </c>
      <c r="F9" s="5" t="s">
        <v>57</v>
      </c>
      <c r="G9" s="5">
        <v>15.625</v>
      </c>
      <c r="H9" s="5" t="s">
        <v>27</v>
      </c>
      <c r="I9" s="5">
        <v>16</v>
      </c>
      <c r="J9" s="5">
        <v>16</v>
      </c>
      <c r="K9" s="5">
        <v>5</v>
      </c>
      <c r="L9" s="6">
        <v>2.5</v>
      </c>
      <c r="M9" s="5"/>
      <c r="N9" s="14">
        <v>0.2</v>
      </c>
      <c r="O9" s="14">
        <v>0.2</v>
      </c>
      <c r="P9" s="14" t="s">
        <v>58</v>
      </c>
      <c r="Q9" s="11">
        <f>0.5</f>
        <v>0.5</v>
      </c>
      <c r="R9" s="11" t="s">
        <v>65</v>
      </c>
      <c r="S9" s="11">
        <f>0.5+0.1+0.1+1</f>
        <v>1.7</v>
      </c>
      <c r="T9" s="11">
        <v>29.4</v>
      </c>
      <c r="U9" s="11">
        <f t="shared" si="1"/>
        <v>2.2</v>
      </c>
      <c r="V9" s="11">
        <f t="shared" si="0"/>
        <v>0.2999999999999998</v>
      </c>
      <c r="W9" s="11">
        <v>1.7</v>
      </c>
      <c r="X9" s="11">
        <v>2.2</v>
      </c>
      <c r="Y9" s="11">
        <v>0.3</v>
      </c>
      <c r="Z9" s="11" t="str">
        <f>IF(O9&lt;=1,IF(Y9&lt;=1,"YES","NO"),"NO-standby")</f>
        <v>YES</v>
      </c>
    </row>
    <row r="10" spans="1:26" ht="36">
      <c r="A10" s="4">
        <v>2</v>
      </c>
      <c r="B10" s="4" t="s">
        <v>78</v>
      </c>
      <c r="C10" s="5" t="s">
        <v>48</v>
      </c>
      <c r="D10" s="5" t="s">
        <v>49</v>
      </c>
      <c r="E10" s="5" t="s">
        <v>51</v>
      </c>
      <c r="F10" s="5" t="s">
        <v>57</v>
      </c>
      <c r="G10" s="5">
        <v>7.8125</v>
      </c>
      <c r="H10" s="5" t="s">
        <v>27</v>
      </c>
      <c r="I10" s="5">
        <v>18</v>
      </c>
      <c r="J10" s="5">
        <v>18</v>
      </c>
      <c r="K10" s="5">
        <v>3.3</v>
      </c>
      <c r="L10" s="6">
        <v>1</v>
      </c>
      <c r="M10" s="5"/>
      <c r="N10" s="14">
        <v>0.2</v>
      </c>
      <c r="O10" s="14">
        <v>0.2</v>
      </c>
      <c r="P10" s="14" t="s">
        <v>58</v>
      </c>
      <c r="Q10" s="11">
        <f>0.5</f>
        <v>0.5</v>
      </c>
      <c r="R10" s="11"/>
      <c r="S10" s="11"/>
      <c r="T10" s="11">
        <v>29.4</v>
      </c>
      <c r="U10" s="11">
        <f t="shared" si="1"/>
        <v>0.5</v>
      </c>
      <c r="V10" s="11">
        <f t="shared" si="0"/>
        <v>0.5</v>
      </c>
      <c r="W10" s="11"/>
      <c r="X10" s="11">
        <v>0.5</v>
      </c>
      <c r="Y10" s="11">
        <v>0.5</v>
      </c>
      <c r="Z10" s="11" t="str">
        <f>IF(O10&lt;=1,IF(Y10&lt;=1,"YES","NO"),"NO-standby")</f>
        <v>YES</v>
      </c>
    </row>
    <row r="11" spans="1:26" ht="12.75">
      <c r="A11" s="4">
        <v>2</v>
      </c>
      <c r="B11" s="4" t="s">
        <v>78</v>
      </c>
      <c r="C11" s="5" t="s">
        <v>48</v>
      </c>
      <c r="D11" s="5" t="s">
        <v>49</v>
      </c>
      <c r="E11" s="5" t="s">
        <v>51</v>
      </c>
      <c r="F11" s="5" t="s">
        <v>50</v>
      </c>
      <c r="G11" s="5">
        <v>0.187</v>
      </c>
      <c r="H11" s="5" t="s">
        <v>27</v>
      </c>
      <c r="I11" s="5">
        <v>20</v>
      </c>
      <c r="J11" s="5">
        <v>16</v>
      </c>
      <c r="K11" s="5">
        <v>0.421</v>
      </c>
      <c r="L11" s="6">
        <v>0.6</v>
      </c>
      <c r="M11" s="5"/>
      <c r="N11" s="14">
        <v>0.421</v>
      </c>
      <c r="O11" s="14">
        <v>0.421</v>
      </c>
      <c r="P11" s="14"/>
      <c r="Q11" s="11"/>
      <c r="R11" s="11"/>
      <c r="S11" s="11"/>
      <c r="T11" s="11">
        <v>16.8</v>
      </c>
      <c r="U11" s="11"/>
      <c r="V11" s="11">
        <f>L11</f>
        <v>0.6</v>
      </c>
      <c r="W11" s="11"/>
      <c r="X11" s="11"/>
      <c r="Y11" s="11">
        <v>0.6</v>
      </c>
      <c r="Z11" s="11" t="str">
        <f>IF(O11&lt;=1,IF(Y11&lt;=1,"YES","NO"),"NO-standby")</f>
        <v>YES</v>
      </c>
    </row>
    <row r="12" spans="1:26" ht="48">
      <c r="A12" s="4">
        <v>2</v>
      </c>
      <c r="B12" s="4" t="s">
        <v>78</v>
      </c>
      <c r="C12" s="5" t="s">
        <v>48</v>
      </c>
      <c r="D12" s="5" t="s">
        <v>49</v>
      </c>
      <c r="E12" s="5" t="s">
        <v>51</v>
      </c>
      <c r="F12" s="5" t="s">
        <v>79</v>
      </c>
      <c r="G12" s="5">
        <v>31.25</v>
      </c>
      <c r="H12" s="5" t="s">
        <v>27</v>
      </c>
      <c r="I12" s="5">
        <v>11</v>
      </c>
      <c r="J12" s="5">
        <v>11</v>
      </c>
      <c r="K12" s="5">
        <v>6</v>
      </c>
      <c r="L12" s="6">
        <v>1.2</v>
      </c>
      <c r="M12" s="5"/>
      <c r="N12" s="14">
        <v>0.4</v>
      </c>
      <c r="O12" s="14">
        <v>0.4</v>
      </c>
      <c r="P12" s="14" t="s">
        <v>58</v>
      </c>
      <c r="Q12" s="11">
        <f>0.5</f>
        <v>0.5</v>
      </c>
      <c r="R12" s="11" t="s">
        <v>80</v>
      </c>
      <c r="S12" s="11">
        <f>((0.05*(T12-10))+0.1)</f>
        <v>0.6275000000000001</v>
      </c>
      <c r="T12" s="11">
        <v>20.55</v>
      </c>
      <c r="U12" s="11">
        <f>Q12+S12</f>
        <v>1.1275</v>
      </c>
      <c r="V12" s="11">
        <f>L12-U12</f>
        <v>0.07250000000000001</v>
      </c>
      <c r="W12" s="11">
        <v>0.1</v>
      </c>
      <c r="X12" s="11">
        <v>0.6</v>
      </c>
      <c r="Y12" s="11">
        <v>0.6</v>
      </c>
      <c r="Z12" s="11" t="str">
        <f>IF(O12&lt;=1,IF(Y12&lt;=1,"YES","NO"),"NO-standby")</f>
        <v>YES</v>
      </c>
    </row>
    <row r="13" spans="1:26" ht="12.75">
      <c r="A13" s="4">
        <v>2</v>
      </c>
      <c r="B13" s="4" t="s">
        <v>78</v>
      </c>
      <c r="C13" s="5" t="s">
        <v>48</v>
      </c>
      <c r="D13" s="5" t="s">
        <v>49</v>
      </c>
      <c r="E13" s="5" t="s">
        <v>51</v>
      </c>
      <c r="F13" s="5" t="s">
        <v>50</v>
      </c>
      <c r="G13" s="5">
        <v>8</v>
      </c>
      <c r="H13" s="5" t="s">
        <v>27</v>
      </c>
      <c r="I13" s="5">
        <v>25</v>
      </c>
      <c r="J13" s="5">
        <v>17</v>
      </c>
      <c r="K13" s="5">
        <v>0.332</v>
      </c>
      <c r="L13" s="6">
        <v>0.702</v>
      </c>
      <c r="M13" s="5"/>
      <c r="N13" s="14">
        <v>0.332</v>
      </c>
      <c r="O13" s="14">
        <v>0.332</v>
      </c>
      <c r="P13" s="14"/>
      <c r="Q13" s="11"/>
      <c r="R13" s="11"/>
      <c r="S13" s="11"/>
      <c r="T13" s="11">
        <v>39</v>
      </c>
      <c r="U13" s="11"/>
      <c r="V13" s="11">
        <f>L13</f>
        <v>0.702</v>
      </c>
      <c r="W13" s="11"/>
      <c r="X13" s="11"/>
      <c r="Y13" s="11">
        <v>0.702</v>
      </c>
      <c r="Z13" s="11" t="str">
        <f>IF(O13&lt;=1,IF(Y13&lt;=1,"YES","NO"),"NO-standby")</f>
        <v>YES</v>
      </c>
    </row>
    <row r="14" spans="1:26" ht="60">
      <c r="A14" s="4">
        <v>2</v>
      </c>
      <c r="B14" s="4" t="s">
        <v>78</v>
      </c>
      <c r="C14" s="5" t="s">
        <v>48</v>
      </c>
      <c r="D14" s="5" t="s">
        <v>49</v>
      </c>
      <c r="E14" s="5" t="s">
        <v>51</v>
      </c>
      <c r="F14" s="5" t="s">
        <v>86</v>
      </c>
      <c r="G14" s="5">
        <v>32</v>
      </c>
      <c r="H14" s="5" t="s">
        <v>84</v>
      </c>
      <c r="I14" s="5">
        <v>36</v>
      </c>
      <c r="J14" s="5">
        <v>27</v>
      </c>
      <c r="K14" s="5">
        <v>2.9</v>
      </c>
      <c r="L14" s="6">
        <v>2.9</v>
      </c>
      <c r="M14" s="5"/>
      <c r="N14" s="14">
        <v>0.2</v>
      </c>
      <c r="O14" s="14">
        <v>0.2</v>
      </c>
      <c r="P14" s="14" t="s">
        <v>87</v>
      </c>
      <c r="Q14" s="11">
        <f>0.5+1.5</f>
        <v>2</v>
      </c>
      <c r="R14" s="11" t="s">
        <v>88</v>
      </c>
      <c r="S14" s="11">
        <f>((G14/1000)+(0.05*(T14-10))+0.1)</f>
        <v>2.132</v>
      </c>
      <c r="T14" s="11">
        <v>50</v>
      </c>
      <c r="U14" s="11">
        <f>Q14+S14</f>
        <v>4.132</v>
      </c>
      <c r="V14" s="11">
        <f>L14-U14</f>
        <v>-1.2319999999999998</v>
      </c>
      <c r="W14" s="11">
        <v>0.132</v>
      </c>
      <c r="X14" s="11">
        <v>2.132</v>
      </c>
      <c r="Y14" s="11">
        <v>0.7679999999999998</v>
      </c>
      <c r="Z14" s="11" t="str">
        <f>IF(O14&lt;=1,IF(Y14&lt;=1,"YES","NO"),"NO-standby")</f>
        <v>YES</v>
      </c>
    </row>
    <row r="15" spans="1:26" ht="156">
      <c r="A15" s="4">
        <v>2</v>
      </c>
      <c r="B15" s="4" t="s">
        <v>29</v>
      </c>
      <c r="C15" s="5" t="s">
        <v>48</v>
      </c>
      <c r="D15" s="5" t="s">
        <v>49</v>
      </c>
      <c r="E15" s="5" t="s">
        <v>51</v>
      </c>
      <c r="F15" s="5" t="s">
        <v>57</v>
      </c>
      <c r="G15" s="5">
        <v>31.25</v>
      </c>
      <c r="H15" s="5" t="s">
        <v>27</v>
      </c>
      <c r="I15" s="5">
        <v>16</v>
      </c>
      <c r="J15" s="5">
        <v>16</v>
      </c>
      <c r="K15" s="5">
        <v>5.5</v>
      </c>
      <c r="L15" s="6">
        <v>3</v>
      </c>
      <c r="M15" s="5"/>
      <c r="N15" s="14">
        <v>0.2</v>
      </c>
      <c r="O15" s="14">
        <v>0.2</v>
      </c>
      <c r="P15" s="14" t="s">
        <v>58</v>
      </c>
      <c r="Q15" s="11">
        <f>0.5</f>
        <v>0.5</v>
      </c>
      <c r="R15" s="11" t="s">
        <v>65</v>
      </c>
      <c r="S15" s="11">
        <f>0.5+0.1+0.1+1</f>
        <v>1.7</v>
      </c>
      <c r="T15" s="11">
        <v>29.4</v>
      </c>
      <c r="U15" s="11">
        <f>Q15+S15</f>
        <v>2.2</v>
      </c>
      <c r="V15" s="11">
        <f>L15-U15</f>
        <v>0.7999999999999998</v>
      </c>
      <c r="W15" s="11">
        <v>1.7</v>
      </c>
      <c r="X15" s="11">
        <v>2.2</v>
      </c>
      <c r="Y15" s="11">
        <v>0.8</v>
      </c>
      <c r="Z15" s="11" t="str">
        <f>IF(O15&lt;=1,IF(Y15&lt;=1,"YES","NO"),"NO-standby")</f>
        <v>YES</v>
      </c>
    </row>
    <row r="16" spans="1:26" ht="12.75">
      <c r="A16" s="4">
        <v>2</v>
      </c>
      <c r="B16" s="4" t="s">
        <v>29</v>
      </c>
      <c r="C16" s="5" t="s">
        <v>48</v>
      </c>
      <c r="D16" s="5" t="s">
        <v>49</v>
      </c>
      <c r="E16" s="5" t="s">
        <v>51</v>
      </c>
      <c r="F16" s="5" t="s">
        <v>50</v>
      </c>
      <c r="G16" s="5">
        <v>16</v>
      </c>
      <c r="H16" s="5" t="s">
        <v>27</v>
      </c>
      <c r="I16" s="5">
        <v>20</v>
      </c>
      <c r="J16" s="5">
        <v>17</v>
      </c>
      <c r="K16" s="5">
        <v>0.519</v>
      </c>
      <c r="L16" s="6">
        <v>0.821</v>
      </c>
      <c r="M16" s="5"/>
      <c r="N16" s="14">
        <v>0.519</v>
      </c>
      <c r="O16" s="14">
        <v>0.519</v>
      </c>
      <c r="P16" s="14"/>
      <c r="Q16" s="11"/>
      <c r="R16" s="11"/>
      <c r="S16" s="11"/>
      <c r="T16" s="11">
        <v>29</v>
      </c>
      <c r="U16" s="11"/>
      <c r="V16" s="11">
        <f>L16</f>
        <v>0.821</v>
      </c>
      <c r="W16" s="11"/>
      <c r="X16" s="11"/>
      <c r="Y16" s="11">
        <v>0.821</v>
      </c>
      <c r="Z16" s="11" t="str">
        <f>IF(O16&lt;=1,IF(Y16&lt;=1,"YES","NO"),"NO-standby")</f>
        <v>YES</v>
      </c>
    </row>
    <row r="17" spans="1:26" ht="12.75">
      <c r="A17" s="4">
        <v>2</v>
      </c>
      <c r="B17" s="4" t="s">
        <v>78</v>
      </c>
      <c r="C17" s="5" t="s">
        <v>48</v>
      </c>
      <c r="D17" s="5" t="s">
        <v>49</v>
      </c>
      <c r="E17" s="5" t="s">
        <v>51</v>
      </c>
      <c r="F17" s="5" t="s">
        <v>50</v>
      </c>
      <c r="G17" s="5">
        <v>16</v>
      </c>
      <c r="H17" s="5" t="s">
        <v>53</v>
      </c>
      <c r="I17" s="5">
        <v>31</v>
      </c>
      <c r="J17" s="5">
        <v>24</v>
      </c>
      <c r="K17" s="5">
        <v>0.392</v>
      </c>
      <c r="L17" s="6">
        <v>0.984</v>
      </c>
      <c r="M17" s="5"/>
      <c r="N17" s="14">
        <v>0.392</v>
      </c>
      <c r="O17" s="14">
        <v>0.392</v>
      </c>
      <c r="P17" s="14"/>
      <c r="Q17" s="11"/>
      <c r="R17" s="11"/>
      <c r="S17" s="11"/>
      <c r="T17" s="11">
        <v>39</v>
      </c>
      <c r="U17" s="11"/>
      <c r="V17" s="11">
        <f>L17</f>
        <v>0.984</v>
      </c>
      <c r="W17" s="11"/>
      <c r="X17" s="11"/>
      <c r="Y17" s="11">
        <v>0.984</v>
      </c>
      <c r="Z17" s="11" t="str">
        <f>IF(O17&lt;=1,IF(Y17&lt;=1,"YES","NO"),"NO-standby")</f>
        <v>YES</v>
      </c>
    </row>
    <row r="18" spans="1:26" ht="12.75">
      <c r="A18" s="4">
        <v>2</v>
      </c>
      <c r="B18" s="4" t="s">
        <v>78</v>
      </c>
      <c r="C18" s="5" t="s">
        <v>48</v>
      </c>
      <c r="D18" s="5" t="s">
        <v>49</v>
      </c>
      <c r="E18" s="5" t="s">
        <v>51</v>
      </c>
      <c r="F18" s="5" t="s">
        <v>50</v>
      </c>
      <c r="G18" s="5">
        <v>8</v>
      </c>
      <c r="H18" s="5" t="s">
        <v>27</v>
      </c>
      <c r="I18" s="5">
        <v>16</v>
      </c>
      <c r="J18" s="5">
        <v>12</v>
      </c>
      <c r="K18" s="5">
        <v>0.2</v>
      </c>
      <c r="L18" s="6">
        <v>1</v>
      </c>
      <c r="M18" s="5"/>
      <c r="N18" s="14">
        <v>0.2</v>
      </c>
      <c r="O18" s="14">
        <v>0.2</v>
      </c>
      <c r="P18" s="14"/>
      <c r="Q18" s="11"/>
      <c r="R18" s="11"/>
      <c r="S18" s="11"/>
      <c r="T18" s="11">
        <v>32</v>
      </c>
      <c r="U18" s="11"/>
      <c r="V18" s="11">
        <f>L18</f>
        <v>1</v>
      </c>
      <c r="W18" s="11"/>
      <c r="X18" s="11"/>
      <c r="Y18" s="11">
        <v>1</v>
      </c>
      <c r="Z18" s="11" t="str">
        <f>IF(O18&lt;=1,IF(Y18&lt;=1,"YES","NO"),"NO-standby")</f>
        <v>YES</v>
      </c>
    </row>
    <row r="19" spans="1:26" ht="180">
      <c r="A19" s="4">
        <v>2</v>
      </c>
      <c r="B19" s="4" t="s">
        <v>29</v>
      </c>
      <c r="C19" s="5" t="s">
        <v>48</v>
      </c>
      <c r="D19" s="5" t="s">
        <v>49</v>
      </c>
      <c r="E19" s="5" t="s">
        <v>51</v>
      </c>
      <c r="F19" s="5" t="s">
        <v>50</v>
      </c>
      <c r="G19" s="5">
        <v>46.875</v>
      </c>
      <c r="H19" s="5" t="s">
        <v>27</v>
      </c>
      <c r="I19" s="5">
        <v>15</v>
      </c>
      <c r="J19" s="5">
        <v>15</v>
      </c>
      <c r="K19" s="5">
        <v>7</v>
      </c>
      <c r="L19" s="6">
        <v>2.5</v>
      </c>
      <c r="M19" s="5"/>
      <c r="N19" s="14">
        <v>0.2</v>
      </c>
      <c r="O19" s="14">
        <v>0.2</v>
      </c>
      <c r="P19" s="14" t="s">
        <v>58</v>
      </c>
      <c r="Q19" s="11">
        <f>0.5</f>
        <v>0.5</v>
      </c>
      <c r="R19" s="11" t="s">
        <v>66</v>
      </c>
      <c r="S19" s="11">
        <f>(0.2+(0.05*(T19-10))+0.5+0.1+0.1+0.1)</f>
        <v>1.7600000000000002</v>
      </c>
      <c r="T19" s="11">
        <v>25.2</v>
      </c>
      <c r="U19" s="11">
        <f>Q19+S19</f>
        <v>2.2600000000000002</v>
      </c>
      <c r="V19" s="11">
        <f>L19-U19</f>
        <v>0.23999999999999977</v>
      </c>
      <c r="W19" s="11">
        <v>1</v>
      </c>
      <c r="X19" s="11">
        <v>1.5</v>
      </c>
      <c r="Y19" s="11">
        <v>1</v>
      </c>
      <c r="Z19" s="11" t="str">
        <f>IF(O19&lt;=1,IF(Y19&lt;=1,"YES","NO"),"NO-standby")</f>
        <v>YES</v>
      </c>
    </row>
    <row r="20" spans="1:26" ht="12.75">
      <c r="A20" s="4">
        <v>2</v>
      </c>
      <c r="B20" s="4" t="s">
        <v>47</v>
      </c>
      <c r="C20" s="5" t="s">
        <v>48</v>
      </c>
      <c r="D20" s="5" t="s">
        <v>49</v>
      </c>
      <c r="E20" s="5" t="s">
        <v>25</v>
      </c>
      <c r="F20" s="5" t="s">
        <v>50</v>
      </c>
      <c r="G20" s="5">
        <v>16</v>
      </c>
      <c r="H20" s="5" t="s">
        <v>27</v>
      </c>
      <c r="I20" s="5">
        <v>12</v>
      </c>
      <c r="J20" s="5"/>
      <c r="K20" s="5">
        <v>0</v>
      </c>
      <c r="L20" s="6">
        <v>1.065</v>
      </c>
      <c r="M20" s="5"/>
      <c r="N20" s="14">
        <v>0</v>
      </c>
      <c r="O20" s="14">
        <v>0</v>
      </c>
      <c r="P20" s="14"/>
      <c r="Q20" s="11"/>
      <c r="R20" s="11"/>
      <c r="S20" s="11"/>
      <c r="T20" s="11">
        <v>30</v>
      </c>
      <c r="U20" s="11"/>
      <c r="V20" s="11">
        <f>L20</f>
        <v>1.065</v>
      </c>
      <c r="W20" s="11"/>
      <c r="X20" s="11"/>
      <c r="Y20" s="11">
        <v>1.065</v>
      </c>
      <c r="Z20" s="11" t="str">
        <f>IF(O20&lt;=1,IF(Y20&lt;=1,"YES","NO"),"NO-standby")</f>
        <v>NO</v>
      </c>
    </row>
    <row r="21" spans="1:26" ht="12.75">
      <c r="A21" s="4">
        <v>2</v>
      </c>
      <c r="B21" s="4" t="s">
        <v>29</v>
      </c>
      <c r="C21" s="5" t="s">
        <v>48</v>
      </c>
      <c r="D21" s="5" t="s">
        <v>49</v>
      </c>
      <c r="E21" s="5" t="s">
        <v>51</v>
      </c>
      <c r="F21" s="5" t="s">
        <v>50</v>
      </c>
      <c r="G21" s="5">
        <v>29</v>
      </c>
      <c r="H21" s="5" t="s">
        <v>27</v>
      </c>
      <c r="I21" s="5">
        <v>22</v>
      </c>
      <c r="J21" s="5">
        <v>17</v>
      </c>
      <c r="K21" s="5">
        <v>0.532</v>
      </c>
      <c r="L21" s="6">
        <v>1.189</v>
      </c>
      <c r="M21" s="5"/>
      <c r="N21" s="14">
        <v>0.532</v>
      </c>
      <c r="O21" s="14">
        <v>0.532</v>
      </c>
      <c r="P21" s="14"/>
      <c r="Q21" s="11"/>
      <c r="R21" s="11"/>
      <c r="S21" s="11"/>
      <c r="T21" s="11">
        <v>29</v>
      </c>
      <c r="U21" s="11"/>
      <c r="V21" s="11">
        <f>L21</f>
        <v>1.189</v>
      </c>
      <c r="W21" s="11"/>
      <c r="X21" s="11"/>
      <c r="Y21" s="11">
        <v>1.189</v>
      </c>
      <c r="Z21" s="11" t="str">
        <f>IF(O21&lt;=1,IF(Y21&lt;=1,"YES","NO"),"NO-standby")</f>
        <v>NO</v>
      </c>
    </row>
    <row r="22" spans="1:26" ht="12.75">
      <c r="A22" s="4">
        <v>2</v>
      </c>
      <c r="B22" s="4" t="s">
        <v>29</v>
      </c>
      <c r="C22" s="5" t="s">
        <v>48</v>
      </c>
      <c r="D22" s="5" t="s">
        <v>49</v>
      </c>
      <c r="E22" s="5" t="s">
        <v>51</v>
      </c>
      <c r="F22" s="5" t="s">
        <v>50</v>
      </c>
      <c r="G22" s="5">
        <v>32</v>
      </c>
      <c r="H22" s="5" t="s">
        <v>27</v>
      </c>
      <c r="I22" s="5">
        <v>22</v>
      </c>
      <c r="J22" s="5">
        <v>17</v>
      </c>
      <c r="K22" s="5">
        <v>0.706</v>
      </c>
      <c r="L22" s="6">
        <v>1.26</v>
      </c>
      <c r="M22" s="5"/>
      <c r="N22" s="14">
        <v>0.706</v>
      </c>
      <c r="O22" s="14">
        <v>0.706</v>
      </c>
      <c r="P22" s="14"/>
      <c r="Q22" s="11"/>
      <c r="R22" s="11"/>
      <c r="S22" s="11"/>
      <c r="T22" s="11">
        <v>29</v>
      </c>
      <c r="U22" s="11"/>
      <c r="V22" s="11">
        <f>L22</f>
        <v>1.26</v>
      </c>
      <c r="W22" s="11"/>
      <c r="X22" s="11"/>
      <c r="Y22" s="11">
        <v>1.26</v>
      </c>
      <c r="Z22" s="11" t="str">
        <f>IF(O22&lt;=1,IF(Y22&lt;=1,"YES","NO"),"NO-standby")</f>
        <v>NO</v>
      </c>
    </row>
    <row r="23" spans="1:26" ht="12.75">
      <c r="A23" s="4">
        <v>2</v>
      </c>
      <c r="B23" s="4" t="s">
        <v>29</v>
      </c>
      <c r="C23" s="5" t="s">
        <v>48</v>
      </c>
      <c r="D23" s="5" t="s">
        <v>49</v>
      </c>
      <c r="E23" s="5" t="s">
        <v>51</v>
      </c>
      <c r="F23" s="5" t="s">
        <v>50</v>
      </c>
      <c r="G23" s="5">
        <v>32</v>
      </c>
      <c r="H23" s="5" t="s">
        <v>27</v>
      </c>
      <c r="I23" s="5">
        <v>22</v>
      </c>
      <c r="J23" s="5">
        <v>17</v>
      </c>
      <c r="K23" s="5">
        <v>0.785</v>
      </c>
      <c r="L23" s="6">
        <v>1.4</v>
      </c>
      <c r="M23" s="5"/>
      <c r="N23" s="14">
        <v>0.785</v>
      </c>
      <c r="O23" s="14">
        <v>0.785</v>
      </c>
      <c r="P23" s="14"/>
      <c r="Q23" s="11"/>
      <c r="R23" s="11"/>
      <c r="S23" s="11"/>
      <c r="T23" s="11">
        <v>29</v>
      </c>
      <c r="U23" s="11"/>
      <c r="V23" s="11">
        <f>L23</f>
        <v>1.4</v>
      </c>
      <c r="W23" s="11"/>
      <c r="X23" s="11"/>
      <c r="Y23" s="11">
        <v>1.4</v>
      </c>
      <c r="Z23" s="11" t="str">
        <f>IF(O23&lt;=1,IF(Y23&lt;=1,"YES","NO"),"NO-standby")</f>
        <v>NO</v>
      </c>
    </row>
    <row r="24" spans="1:26" ht="36">
      <c r="A24" s="4">
        <v>2</v>
      </c>
      <c r="B24" s="4" t="s">
        <v>78</v>
      </c>
      <c r="C24" s="5" t="s">
        <v>48</v>
      </c>
      <c r="D24" s="5" t="s">
        <v>49</v>
      </c>
      <c r="E24" s="5" t="s">
        <v>51</v>
      </c>
      <c r="F24" s="5" t="s">
        <v>57</v>
      </c>
      <c r="G24" s="5">
        <v>7.8</v>
      </c>
      <c r="H24" s="5" t="s">
        <v>27</v>
      </c>
      <c r="I24" s="5">
        <v>20</v>
      </c>
      <c r="J24" s="5">
        <v>20</v>
      </c>
      <c r="K24" s="5">
        <v>3</v>
      </c>
      <c r="L24" s="6">
        <v>2</v>
      </c>
      <c r="M24" s="5"/>
      <c r="N24" s="14">
        <v>0.02</v>
      </c>
      <c r="O24" s="14">
        <v>0.02</v>
      </c>
      <c r="P24" s="14" t="s">
        <v>58</v>
      </c>
      <c r="Q24" s="11">
        <f>0.5</f>
        <v>0.5</v>
      </c>
      <c r="R24" s="11"/>
      <c r="S24" s="11"/>
      <c r="T24" s="11">
        <v>29.4</v>
      </c>
      <c r="U24" s="11">
        <f>Q24+S24</f>
        <v>0.5</v>
      </c>
      <c r="V24" s="11">
        <f>L24-U24</f>
        <v>1.5</v>
      </c>
      <c r="W24" s="11"/>
      <c r="X24" s="11">
        <v>0.5</v>
      </c>
      <c r="Y24" s="11">
        <v>1.5</v>
      </c>
      <c r="Z24" s="11" t="str">
        <f>IF(O24&lt;=1,IF(Y24&lt;=1,"YES","NO"),"NO-standby")</f>
        <v>NO</v>
      </c>
    </row>
    <row r="25" spans="1:26" ht="12.75">
      <c r="A25" s="4">
        <v>2</v>
      </c>
      <c r="B25" s="4" t="s">
        <v>78</v>
      </c>
      <c r="C25" s="5" t="s">
        <v>48</v>
      </c>
      <c r="D25" s="5" t="s">
        <v>49</v>
      </c>
      <c r="E25" s="5" t="s">
        <v>51</v>
      </c>
      <c r="F25" s="5" t="s">
        <v>50</v>
      </c>
      <c r="G25" s="5">
        <v>40</v>
      </c>
      <c r="H25" s="5" t="s">
        <v>27</v>
      </c>
      <c r="I25" s="5">
        <v>16</v>
      </c>
      <c r="J25" s="5">
        <v>15</v>
      </c>
      <c r="K25" s="5">
        <v>0.9</v>
      </c>
      <c r="L25" s="6">
        <v>1.542</v>
      </c>
      <c r="M25" s="5"/>
      <c r="N25" s="14">
        <v>0.9</v>
      </c>
      <c r="O25" s="14">
        <v>0.9</v>
      </c>
      <c r="P25" s="14"/>
      <c r="Q25" s="11"/>
      <c r="R25" s="11"/>
      <c r="S25" s="11"/>
      <c r="T25" s="11">
        <v>41.6</v>
      </c>
      <c r="U25" s="11"/>
      <c r="V25" s="11">
        <f>L25</f>
        <v>1.542</v>
      </c>
      <c r="W25" s="11"/>
      <c r="X25" s="11"/>
      <c r="Y25" s="11">
        <v>1.542</v>
      </c>
      <c r="Z25" s="11" t="str">
        <f>IF(O25&lt;=1,IF(Y25&lt;=1,"YES","NO"),"NO-standby")</f>
        <v>NO</v>
      </c>
    </row>
    <row r="26" spans="1:26" ht="12.75">
      <c r="A26" s="4">
        <v>2</v>
      </c>
      <c r="B26" s="4" t="s">
        <v>78</v>
      </c>
      <c r="C26" s="5" t="s">
        <v>48</v>
      </c>
      <c r="D26" s="5" t="s">
        <v>49</v>
      </c>
      <c r="E26" s="5" t="s">
        <v>51</v>
      </c>
      <c r="F26" s="5" t="s">
        <v>50</v>
      </c>
      <c r="G26" s="5">
        <v>48</v>
      </c>
      <c r="H26" s="5" t="s">
        <v>27</v>
      </c>
      <c r="I26" s="5">
        <v>9</v>
      </c>
      <c r="J26" s="5">
        <v>8</v>
      </c>
      <c r="K26" s="5">
        <v>0.9</v>
      </c>
      <c r="L26" s="6">
        <v>1.542</v>
      </c>
      <c r="M26" s="5"/>
      <c r="N26" s="14">
        <v>0.9</v>
      </c>
      <c r="O26" s="14">
        <v>0.9</v>
      </c>
      <c r="P26" s="14"/>
      <c r="Q26" s="11"/>
      <c r="R26" s="11"/>
      <c r="S26" s="11"/>
      <c r="T26" s="11">
        <v>71.4</v>
      </c>
      <c r="U26" s="11"/>
      <c r="V26" s="11">
        <f>L26</f>
        <v>1.542</v>
      </c>
      <c r="W26" s="11"/>
      <c r="X26" s="11"/>
      <c r="Y26" s="11">
        <v>1.542</v>
      </c>
      <c r="Z26" s="11" t="str">
        <f>IF(O26&lt;=1,IF(Y26&lt;=1,"YES","NO"),"NO-standby")</f>
        <v>NO</v>
      </c>
    </row>
    <row r="27" spans="1:26" ht="12.75">
      <c r="A27" s="4">
        <v>2</v>
      </c>
      <c r="B27" s="4" t="s">
        <v>29</v>
      </c>
      <c r="C27" s="5" t="s">
        <v>48</v>
      </c>
      <c r="D27" s="5" t="s">
        <v>49</v>
      </c>
      <c r="E27" s="5" t="s">
        <v>51</v>
      </c>
      <c r="F27" s="5" t="s">
        <v>50</v>
      </c>
      <c r="G27" s="5">
        <v>32</v>
      </c>
      <c r="H27" s="5" t="s">
        <v>53</v>
      </c>
      <c r="I27" s="5">
        <v>31</v>
      </c>
      <c r="J27" s="5">
        <v>24</v>
      </c>
      <c r="K27" s="5">
        <v>0.721</v>
      </c>
      <c r="L27" s="6">
        <v>1.607</v>
      </c>
      <c r="M27" s="5"/>
      <c r="N27" s="14">
        <v>0.721</v>
      </c>
      <c r="O27" s="14">
        <v>0.721</v>
      </c>
      <c r="P27" s="14"/>
      <c r="Q27" s="11"/>
      <c r="R27" s="11"/>
      <c r="S27" s="11"/>
      <c r="T27" s="11">
        <v>47</v>
      </c>
      <c r="U27" s="11"/>
      <c r="V27" s="11">
        <f>L27</f>
        <v>1.607</v>
      </c>
      <c r="W27" s="11"/>
      <c r="X27" s="11"/>
      <c r="Y27" s="11">
        <v>1.607</v>
      </c>
      <c r="Z27" s="11" t="str">
        <f>IF(O27&lt;=1,IF(Y27&lt;=1,"YES","NO"),"NO-standby")</f>
        <v>NO</v>
      </c>
    </row>
    <row r="28" spans="1:26" ht="180">
      <c r="A28" s="4">
        <v>2</v>
      </c>
      <c r="B28" s="4" t="s">
        <v>29</v>
      </c>
      <c r="C28" s="5" t="s">
        <v>48</v>
      </c>
      <c r="D28" s="5" t="s">
        <v>49</v>
      </c>
      <c r="E28" s="5" t="s">
        <v>51</v>
      </c>
      <c r="F28" s="5" t="s">
        <v>69</v>
      </c>
      <c r="G28" s="5">
        <v>32</v>
      </c>
      <c r="H28" s="5" t="s">
        <v>53</v>
      </c>
      <c r="I28" s="5">
        <v>30</v>
      </c>
      <c r="J28" s="5">
        <v>26</v>
      </c>
      <c r="K28" s="5">
        <v>8.93</v>
      </c>
      <c r="L28" s="6">
        <v>5.56</v>
      </c>
      <c r="M28" s="5"/>
      <c r="N28" s="14">
        <v>0.126</v>
      </c>
      <c r="O28" s="14">
        <v>0.126</v>
      </c>
      <c r="P28" s="14" t="s">
        <v>75</v>
      </c>
      <c r="Q28" s="11">
        <v>3</v>
      </c>
      <c r="R28" s="11" t="s">
        <v>76</v>
      </c>
      <c r="S28" s="11">
        <f>((G28/1000)+(0.05*(T28-10))+0.5+0.2+0.1+0.1)</f>
        <v>1.6820000000000002</v>
      </c>
      <c r="T28" s="11">
        <v>25</v>
      </c>
      <c r="U28" s="11">
        <f>Q28+S28</f>
        <v>4.682</v>
      </c>
      <c r="V28" s="11">
        <f>L28-U28</f>
        <v>0.8779999999999992</v>
      </c>
      <c r="W28" s="11">
        <v>0.9319999999999999</v>
      </c>
      <c r="X28" s="11">
        <v>3.932</v>
      </c>
      <c r="Y28" s="11">
        <v>1.6279999999999997</v>
      </c>
      <c r="Z28" s="11" t="str">
        <f>IF(O28&lt;=1,IF(Y28&lt;=1,"YES","NO"),"NO-standby")</f>
        <v>NO</v>
      </c>
    </row>
    <row r="29" spans="1:26" ht="12.75">
      <c r="A29" s="4">
        <v>2</v>
      </c>
      <c r="B29" s="4" t="s">
        <v>29</v>
      </c>
      <c r="C29" s="5" t="s">
        <v>48</v>
      </c>
      <c r="D29" s="5" t="s">
        <v>49</v>
      </c>
      <c r="E29" s="5" t="s">
        <v>51</v>
      </c>
      <c r="F29" s="5" t="s">
        <v>52</v>
      </c>
      <c r="G29" s="5">
        <v>16</v>
      </c>
      <c r="H29" s="5" t="s">
        <v>27</v>
      </c>
      <c r="I29" s="5">
        <v>22</v>
      </c>
      <c r="J29" s="5">
        <v>17</v>
      </c>
      <c r="K29" s="5">
        <v>0.604</v>
      </c>
      <c r="L29" s="6">
        <v>1.634</v>
      </c>
      <c r="M29" s="5"/>
      <c r="N29" s="14">
        <v>0.604</v>
      </c>
      <c r="O29" s="14">
        <v>0.604</v>
      </c>
      <c r="P29" s="14"/>
      <c r="Q29" s="11"/>
      <c r="R29" s="11"/>
      <c r="S29" s="11"/>
      <c r="T29" s="11">
        <v>29</v>
      </c>
      <c r="U29" s="11"/>
      <c r="V29" s="11">
        <f>L29</f>
        <v>1.634</v>
      </c>
      <c r="W29" s="11"/>
      <c r="X29" s="11"/>
      <c r="Y29" s="11">
        <v>1.634</v>
      </c>
      <c r="Z29" s="11" t="str">
        <f>IF(O29&lt;=1,IF(Y29&lt;=1,"YES","NO"),"NO-standby")</f>
        <v>NO</v>
      </c>
    </row>
    <row r="30" spans="1:26" ht="72">
      <c r="A30" s="4">
        <v>2</v>
      </c>
      <c r="B30" s="4" t="s">
        <v>78</v>
      </c>
      <c r="C30" s="5" t="s">
        <v>48</v>
      </c>
      <c r="D30" s="5" t="s">
        <v>49</v>
      </c>
      <c r="E30" s="5" t="s">
        <v>51</v>
      </c>
      <c r="F30" s="5" t="s">
        <v>83</v>
      </c>
      <c r="G30" s="5">
        <v>32</v>
      </c>
      <c r="H30" s="5" t="s">
        <v>84</v>
      </c>
      <c r="I30" s="5">
        <v>31</v>
      </c>
      <c r="J30" s="5">
        <v>22</v>
      </c>
      <c r="K30" s="5">
        <v>2.7</v>
      </c>
      <c r="L30" s="6">
        <v>2.7</v>
      </c>
      <c r="M30" s="5"/>
      <c r="N30" s="14">
        <v>0.7</v>
      </c>
      <c r="O30" s="14">
        <v>0.7</v>
      </c>
      <c r="P30" s="14" t="s">
        <v>31</v>
      </c>
      <c r="Q30" s="11">
        <f>0.5+0.5</f>
        <v>1</v>
      </c>
      <c r="R30" s="11" t="s">
        <v>85</v>
      </c>
      <c r="S30" s="11">
        <f>((G30/1000)+(0.05*(T30-10)))</f>
        <v>1.1320000000000001</v>
      </c>
      <c r="T30" s="11">
        <v>32</v>
      </c>
      <c r="U30" s="11">
        <f>Q30+S30</f>
        <v>2.132</v>
      </c>
      <c r="V30" s="11">
        <f>L30-U30</f>
        <v>0.5680000000000001</v>
      </c>
      <c r="W30" s="11">
        <v>0.032</v>
      </c>
      <c r="X30" s="11">
        <v>1.032</v>
      </c>
      <c r="Y30" s="11">
        <v>1.6680000000000001</v>
      </c>
      <c r="Z30" s="11" t="str">
        <f>IF(O30&lt;=1,IF(Y30&lt;=1,"YES","NO"),"NO-standby")</f>
        <v>NO</v>
      </c>
    </row>
    <row r="31" spans="1:26" ht="12.75">
      <c r="A31" s="4">
        <v>2</v>
      </c>
      <c r="B31" s="4" t="s">
        <v>29</v>
      </c>
      <c r="C31" s="5" t="s">
        <v>48</v>
      </c>
      <c r="D31" s="5" t="s">
        <v>49</v>
      </c>
      <c r="E31" s="5" t="s">
        <v>51</v>
      </c>
      <c r="F31" s="5" t="s">
        <v>50</v>
      </c>
      <c r="G31" s="5">
        <v>32</v>
      </c>
      <c r="H31" s="5" t="s">
        <v>53</v>
      </c>
      <c r="I31" s="5">
        <v>31</v>
      </c>
      <c r="J31" s="5">
        <v>24</v>
      </c>
      <c r="K31" s="5">
        <v>0.73</v>
      </c>
      <c r="L31" s="6">
        <v>1.766</v>
      </c>
      <c r="M31" s="5"/>
      <c r="N31" s="14">
        <v>0.73</v>
      </c>
      <c r="O31" s="14">
        <v>0.73</v>
      </c>
      <c r="P31" s="14"/>
      <c r="Q31" s="11"/>
      <c r="R31" s="11"/>
      <c r="S31" s="11"/>
      <c r="T31" s="11">
        <v>39</v>
      </c>
      <c r="U31" s="11"/>
      <c r="V31" s="11">
        <f>L31</f>
        <v>1.766</v>
      </c>
      <c r="W31" s="11"/>
      <c r="X31" s="11"/>
      <c r="Y31" s="11">
        <v>1.766</v>
      </c>
      <c r="Z31" s="11" t="str">
        <f>IF(O31&lt;=1,IF(Y31&lt;=1,"YES","NO"),"NO-standby")</f>
        <v>NO</v>
      </c>
    </row>
    <row r="32" spans="1:26" ht="12.75">
      <c r="A32" s="4">
        <v>2</v>
      </c>
      <c r="B32" s="4" t="s">
        <v>29</v>
      </c>
      <c r="C32" s="5" t="s">
        <v>48</v>
      </c>
      <c r="D32" s="5" t="s">
        <v>49</v>
      </c>
      <c r="E32" s="5" t="s">
        <v>51</v>
      </c>
      <c r="F32" s="5" t="s">
        <v>50</v>
      </c>
      <c r="G32" s="5">
        <v>32</v>
      </c>
      <c r="H32" s="5" t="s">
        <v>27</v>
      </c>
      <c r="I32" s="5">
        <v>30</v>
      </c>
      <c r="J32" s="5">
        <v>20</v>
      </c>
      <c r="K32" s="5">
        <v>0.8</v>
      </c>
      <c r="L32" s="6">
        <v>1.779</v>
      </c>
      <c r="M32" s="5"/>
      <c r="N32" s="14">
        <v>0.8</v>
      </c>
      <c r="O32" s="14">
        <v>0.8</v>
      </c>
      <c r="P32" s="14"/>
      <c r="Q32" s="11"/>
      <c r="R32" s="11"/>
      <c r="S32" s="11"/>
      <c r="T32" s="11">
        <v>39</v>
      </c>
      <c r="U32" s="11"/>
      <c r="V32" s="11">
        <f>L32</f>
        <v>1.779</v>
      </c>
      <c r="W32" s="11"/>
      <c r="X32" s="11"/>
      <c r="Y32" s="11">
        <v>1.779</v>
      </c>
      <c r="Z32" s="11" t="str">
        <f>IF(O32&lt;=1,IF(Y32&lt;=1,"YES","NO"),"NO-standby")</f>
        <v>NO</v>
      </c>
    </row>
    <row r="33" spans="1:26" ht="156">
      <c r="A33" s="4">
        <v>2</v>
      </c>
      <c r="B33" s="4" t="s">
        <v>29</v>
      </c>
      <c r="C33" s="5" t="s">
        <v>48</v>
      </c>
      <c r="D33" s="5" t="s">
        <v>49</v>
      </c>
      <c r="E33" s="5" t="s">
        <v>51</v>
      </c>
      <c r="F33" s="5" t="s">
        <v>57</v>
      </c>
      <c r="G33" s="5">
        <v>62.5</v>
      </c>
      <c r="H33" s="5" t="s">
        <v>53</v>
      </c>
      <c r="I33" s="5">
        <v>23</v>
      </c>
      <c r="J33" s="5">
        <v>23</v>
      </c>
      <c r="K33" s="5">
        <v>10.5</v>
      </c>
      <c r="L33" s="6">
        <v>4</v>
      </c>
      <c r="M33" s="5"/>
      <c r="N33" s="14">
        <v>0.3</v>
      </c>
      <c r="O33" s="14">
        <v>0.3</v>
      </c>
      <c r="P33" s="14" t="s">
        <v>58</v>
      </c>
      <c r="Q33" s="11">
        <f>0.5</f>
        <v>0.5</v>
      </c>
      <c r="R33" s="11" t="s">
        <v>65</v>
      </c>
      <c r="S33" s="11">
        <f>0.5+0.1+0.1+1</f>
        <v>1.7</v>
      </c>
      <c r="T33" s="11">
        <v>54.6</v>
      </c>
      <c r="U33" s="11">
        <f aca="true" t="shared" si="2" ref="U33:U43">Q33+S33</f>
        <v>2.2</v>
      </c>
      <c r="V33" s="11">
        <f aca="true" t="shared" si="3" ref="V33:V43">L33-U33</f>
        <v>1.7999999999999998</v>
      </c>
      <c r="W33" s="11">
        <v>1.7</v>
      </c>
      <c r="X33" s="11">
        <v>2.2</v>
      </c>
      <c r="Y33" s="11">
        <v>1.8</v>
      </c>
      <c r="Z33" s="11" t="str">
        <f>IF(O33&lt;=1,IF(Y33&lt;=1,"YES","NO"),"NO-standby")</f>
        <v>NO</v>
      </c>
    </row>
    <row r="34" spans="1:26" ht="180">
      <c r="A34" s="4">
        <v>2</v>
      </c>
      <c r="B34" s="4" t="s">
        <v>29</v>
      </c>
      <c r="C34" s="5" t="s">
        <v>48</v>
      </c>
      <c r="D34" s="5" t="s">
        <v>49</v>
      </c>
      <c r="E34" s="5" t="s">
        <v>51</v>
      </c>
      <c r="F34" s="5" t="s">
        <v>77</v>
      </c>
      <c r="G34" s="5">
        <v>32</v>
      </c>
      <c r="H34" s="5" t="s">
        <v>53</v>
      </c>
      <c r="I34" s="5">
        <v>30</v>
      </c>
      <c r="J34" s="5">
        <v>26</v>
      </c>
      <c r="K34" s="5">
        <v>9.6</v>
      </c>
      <c r="L34" s="6">
        <v>5.81</v>
      </c>
      <c r="M34" s="5"/>
      <c r="N34" s="14">
        <v>0.27</v>
      </c>
      <c r="O34" s="14">
        <v>0.27</v>
      </c>
      <c r="P34" s="14" t="s">
        <v>75</v>
      </c>
      <c r="Q34" s="11">
        <v>3</v>
      </c>
      <c r="R34" s="11" t="s">
        <v>76</v>
      </c>
      <c r="S34" s="11">
        <f>((G34/1000)+(0.05*(T34-10))+0.5+0.2+0.1+0.1)</f>
        <v>2.032</v>
      </c>
      <c r="T34" s="11">
        <v>32</v>
      </c>
      <c r="U34" s="11">
        <f t="shared" si="2"/>
        <v>5.032</v>
      </c>
      <c r="V34" s="11">
        <f t="shared" si="3"/>
        <v>0.7779999999999996</v>
      </c>
      <c r="W34" s="11">
        <v>0.9319999999999999</v>
      </c>
      <c r="X34" s="11">
        <v>3.932</v>
      </c>
      <c r="Y34" s="11">
        <v>1.8779999999999997</v>
      </c>
      <c r="Z34" s="11" t="str">
        <f>IF(O34&lt;=1,IF(Y34&lt;=1,"YES","NO"),"NO-standby")</f>
        <v>NO</v>
      </c>
    </row>
    <row r="35" spans="1:26" ht="132">
      <c r="A35" s="4">
        <v>2</v>
      </c>
      <c r="B35" s="4" t="s">
        <v>78</v>
      </c>
      <c r="C35" s="5" t="s">
        <v>48</v>
      </c>
      <c r="D35" s="5" t="s">
        <v>49</v>
      </c>
      <c r="E35" s="5" t="s">
        <v>51</v>
      </c>
      <c r="F35" s="5" t="s">
        <v>69</v>
      </c>
      <c r="G35" s="5">
        <v>32</v>
      </c>
      <c r="H35" s="5" t="s">
        <v>53</v>
      </c>
      <c r="I35" s="5">
        <v>30</v>
      </c>
      <c r="J35" s="5">
        <v>27</v>
      </c>
      <c r="K35" s="5">
        <v>6.84</v>
      </c>
      <c r="L35" s="6">
        <v>5.33</v>
      </c>
      <c r="M35" s="5"/>
      <c r="N35" s="14">
        <v>0.468</v>
      </c>
      <c r="O35" s="14">
        <v>0.468</v>
      </c>
      <c r="P35" s="14" t="s">
        <v>75</v>
      </c>
      <c r="Q35" s="11">
        <v>3</v>
      </c>
      <c r="R35" s="11" t="s">
        <v>93</v>
      </c>
      <c r="S35" s="11">
        <f>((G35/1000)+(0.05*(T35-10))+0.2+0.1+0.1)</f>
        <v>1.1820000000000002</v>
      </c>
      <c r="T35" s="11">
        <v>25</v>
      </c>
      <c r="U35" s="11">
        <f t="shared" si="2"/>
        <v>4.182</v>
      </c>
      <c r="V35" s="11">
        <f t="shared" si="3"/>
        <v>1.1479999999999997</v>
      </c>
      <c r="W35" s="11">
        <v>0.43200000000000005</v>
      </c>
      <c r="X35" s="11">
        <v>3.432</v>
      </c>
      <c r="Y35" s="11">
        <v>1.8980000000000001</v>
      </c>
      <c r="Z35" s="11" t="str">
        <f>IF(O35&lt;=1,IF(Y35&lt;=1,"YES","NO"),"NO-standby")</f>
        <v>NO</v>
      </c>
    </row>
    <row r="36" spans="1:26" ht="180">
      <c r="A36" s="4">
        <v>2</v>
      </c>
      <c r="B36" s="4" t="s">
        <v>29</v>
      </c>
      <c r="C36" s="5" t="s">
        <v>48</v>
      </c>
      <c r="D36" s="5" t="s">
        <v>49</v>
      </c>
      <c r="E36" s="5" t="s">
        <v>51</v>
      </c>
      <c r="F36" s="5" t="s">
        <v>69</v>
      </c>
      <c r="G36" s="5">
        <v>32</v>
      </c>
      <c r="H36" s="5" t="s">
        <v>53</v>
      </c>
      <c r="I36" s="5">
        <v>28</v>
      </c>
      <c r="J36" s="5">
        <v>24</v>
      </c>
      <c r="K36" s="5">
        <v>9.43</v>
      </c>
      <c r="L36" s="6">
        <v>5.91</v>
      </c>
      <c r="M36" s="5"/>
      <c r="N36" s="14">
        <v>0.26</v>
      </c>
      <c r="O36" s="14">
        <v>0.26</v>
      </c>
      <c r="P36" s="14" t="s">
        <v>75</v>
      </c>
      <c r="Q36" s="11">
        <v>3</v>
      </c>
      <c r="R36" s="11" t="s">
        <v>76</v>
      </c>
      <c r="S36" s="11">
        <f>((G36/1000)+(0.05*(T36-10))+0.5+0.2+0.1+0.1)</f>
        <v>1.6820000000000002</v>
      </c>
      <c r="T36" s="11">
        <v>25</v>
      </c>
      <c r="U36" s="11">
        <f t="shared" si="2"/>
        <v>4.682</v>
      </c>
      <c r="V36" s="11">
        <f t="shared" si="3"/>
        <v>1.2279999999999998</v>
      </c>
      <c r="W36" s="11">
        <v>0.9319999999999999</v>
      </c>
      <c r="X36" s="11">
        <v>3.932</v>
      </c>
      <c r="Y36" s="11">
        <v>1.9780000000000002</v>
      </c>
      <c r="Z36" s="11" t="str">
        <f>IF(O36&lt;=1,IF(Y36&lt;=1,"YES","NO"),"NO-standby")</f>
        <v>NO</v>
      </c>
    </row>
    <row r="37" spans="1:26" ht="84">
      <c r="A37" s="4">
        <v>2</v>
      </c>
      <c r="B37" s="4" t="s">
        <v>78</v>
      </c>
      <c r="C37" s="5" t="s">
        <v>48</v>
      </c>
      <c r="D37" s="5" t="s">
        <v>49</v>
      </c>
      <c r="E37" s="5" t="s">
        <v>51</v>
      </c>
      <c r="F37" s="5" t="s">
        <v>79</v>
      </c>
      <c r="G37" s="5">
        <v>62.5</v>
      </c>
      <c r="H37" s="5" t="s">
        <v>27</v>
      </c>
      <c r="I37" s="5">
        <v>8</v>
      </c>
      <c r="J37" s="5">
        <v>8</v>
      </c>
      <c r="K37" s="5">
        <v>8</v>
      </c>
      <c r="L37" s="6">
        <v>2.8</v>
      </c>
      <c r="M37" s="5"/>
      <c r="N37" s="14">
        <v>0.2</v>
      </c>
      <c r="O37" s="14">
        <v>0.2</v>
      </c>
      <c r="P37" s="14" t="s">
        <v>58</v>
      </c>
      <c r="Q37" s="11">
        <f>0.5</f>
        <v>0.5</v>
      </c>
      <c r="R37" s="11" t="s">
        <v>81</v>
      </c>
      <c r="S37" s="11">
        <f>((0.05*(T37-10))+0.2+0.1)</f>
        <v>1.06</v>
      </c>
      <c r="T37" s="11">
        <v>25.2</v>
      </c>
      <c r="U37" s="11">
        <f t="shared" si="2"/>
        <v>1.56</v>
      </c>
      <c r="V37" s="11">
        <f t="shared" si="3"/>
        <v>1.2399999999999998</v>
      </c>
      <c r="W37" s="11">
        <v>0.3</v>
      </c>
      <c r="X37" s="11">
        <v>0.8</v>
      </c>
      <c r="Y37" s="11">
        <v>2</v>
      </c>
      <c r="Z37" s="11" t="str">
        <f>IF(O37&lt;=1,IF(Y37&lt;=1,"YES","NO"),"NO-standby")</f>
        <v>NO</v>
      </c>
    </row>
    <row r="38" spans="1:26" ht="48">
      <c r="A38" s="4">
        <v>2</v>
      </c>
      <c r="B38" s="4" t="s">
        <v>29</v>
      </c>
      <c r="C38" s="5" t="s">
        <v>48</v>
      </c>
      <c r="D38" s="5" t="s">
        <v>49</v>
      </c>
      <c r="E38" s="5" t="s">
        <v>51</v>
      </c>
      <c r="F38" s="5" t="s">
        <v>57</v>
      </c>
      <c r="G38" s="5">
        <v>32</v>
      </c>
      <c r="H38" s="5" t="s">
        <v>53</v>
      </c>
      <c r="I38" s="5">
        <v>28</v>
      </c>
      <c r="J38" s="5">
        <v>25</v>
      </c>
      <c r="K38" s="5">
        <v>6.22</v>
      </c>
      <c r="L38" s="6">
        <v>3.17</v>
      </c>
      <c r="M38" s="5"/>
      <c r="N38" s="14">
        <v>0.28</v>
      </c>
      <c r="O38" s="14">
        <v>0.28</v>
      </c>
      <c r="P38" s="14" t="s">
        <v>58</v>
      </c>
      <c r="Q38" s="11">
        <f>0.5</f>
        <v>0.5</v>
      </c>
      <c r="R38" s="11" t="s">
        <v>59</v>
      </c>
      <c r="S38" s="11">
        <f>((G38/1000)+0.5)</f>
        <v>0.532</v>
      </c>
      <c r="T38" s="11">
        <v>32</v>
      </c>
      <c r="U38" s="11">
        <f t="shared" si="2"/>
        <v>1.032</v>
      </c>
      <c r="V38" s="11">
        <f t="shared" si="3"/>
        <v>2.138</v>
      </c>
      <c r="W38" s="11">
        <v>0.532</v>
      </c>
      <c r="X38" s="11">
        <v>1.032</v>
      </c>
      <c r="Y38" s="11">
        <v>2.138</v>
      </c>
      <c r="Z38" s="11" t="str">
        <f>IF(O38&lt;=1,IF(Y38&lt;=1,"YES","NO"),"NO-standby")</f>
        <v>NO</v>
      </c>
    </row>
    <row r="39" spans="1:26" ht="72">
      <c r="A39" s="4">
        <v>2</v>
      </c>
      <c r="B39" s="4" t="s">
        <v>29</v>
      </c>
      <c r="C39" s="5" t="s">
        <v>48</v>
      </c>
      <c r="D39" s="5" t="s">
        <v>49</v>
      </c>
      <c r="E39" s="5" t="s">
        <v>51</v>
      </c>
      <c r="F39" s="5"/>
      <c r="G39" s="5">
        <v>8</v>
      </c>
      <c r="H39" s="5" t="s">
        <v>27</v>
      </c>
      <c r="I39" s="5">
        <v>14.3</v>
      </c>
      <c r="J39" s="5">
        <v>13.7</v>
      </c>
      <c r="K39" s="5"/>
      <c r="L39" s="6">
        <v>3.16</v>
      </c>
      <c r="M39" s="5"/>
      <c r="N39" s="14">
        <v>0.165</v>
      </c>
      <c r="O39" s="14"/>
      <c r="P39" s="14" t="s">
        <v>60</v>
      </c>
      <c r="Q39" s="11">
        <v>0.3</v>
      </c>
      <c r="R39" s="11" t="s">
        <v>61</v>
      </c>
      <c r="S39" s="11">
        <f>(0.05*(T39-10))+0.5</f>
        <v>1.26</v>
      </c>
      <c r="T39" s="11">
        <v>25.2</v>
      </c>
      <c r="U39" s="11">
        <f t="shared" si="2"/>
        <v>1.56</v>
      </c>
      <c r="V39" s="11">
        <f t="shared" si="3"/>
        <v>1.6</v>
      </c>
      <c r="W39" s="11">
        <v>0.5</v>
      </c>
      <c r="X39" s="11">
        <v>0.8</v>
      </c>
      <c r="Y39" s="11">
        <v>2.36</v>
      </c>
      <c r="Z39" s="11" t="str">
        <f>IF(O39&lt;=1,IF(Y39&lt;=1,"YES","NO"),"NO-standby")</f>
        <v>NO</v>
      </c>
    </row>
    <row r="40" spans="1:26" ht="72">
      <c r="A40" s="4">
        <v>2</v>
      </c>
      <c r="B40" s="4" t="s">
        <v>29</v>
      </c>
      <c r="C40" s="5" t="s">
        <v>48</v>
      </c>
      <c r="D40" s="5" t="s">
        <v>49</v>
      </c>
      <c r="E40" s="5" t="s">
        <v>51</v>
      </c>
      <c r="F40" s="5" t="s">
        <v>62</v>
      </c>
      <c r="G40" s="5">
        <v>8</v>
      </c>
      <c r="H40" s="5" t="s">
        <v>27</v>
      </c>
      <c r="I40" s="5">
        <v>14.3</v>
      </c>
      <c r="J40" s="5">
        <v>13.7</v>
      </c>
      <c r="K40" s="5">
        <v>3.16</v>
      </c>
      <c r="L40" s="6">
        <v>3.16</v>
      </c>
      <c r="M40" s="5"/>
      <c r="N40" s="14">
        <v>0.165</v>
      </c>
      <c r="O40" s="14">
        <v>0.165</v>
      </c>
      <c r="P40" s="14" t="s">
        <v>60</v>
      </c>
      <c r="Q40" s="11">
        <v>0.3</v>
      </c>
      <c r="R40" s="11" t="s">
        <v>61</v>
      </c>
      <c r="S40" s="11">
        <f>(0.05*(T40-10))+0.5</f>
        <v>1.26</v>
      </c>
      <c r="T40" s="11">
        <v>25.2</v>
      </c>
      <c r="U40" s="11">
        <f t="shared" si="2"/>
        <v>1.56</v>
      </c>
      <c r="V40" s="11">
        <f t="shared" si="3"/>
        <v>1.6</v>
      </c>
      <c r="W40" s="11">
        <v>0.5</v>
      </c>
      <c r="X40" s="11">
        <v>0.8</v>
      </c>
      <c r="Y40" s="11">
        <v>2.36</v>
      </c>
      <c r="Z40" s="11" t="str">
        <f>IF(O40&lt;=1,IF(Y40&lt;=1,"YES","NO"),"NO-standby")</f>
        <v>NO</v>
      </c>
    </row>
    <row r="41" spans="1:26" ht="180">
      <c r="A41" s="4">
        <v>2</v>
      </c>
      <c r="B41" s="4" t="s">
        <v>29</v>
      </c>
      <c r="C41" s="5" t="s">
        <v>48</v>
      </c>
      <c r="D41" s="5" t="s">
        <v>49</v>
      </c>
      <c r="E41" s="5" t="s">
        <v>51</v>
      </c>
      <c r="F41" s="5" t="s">
        <v>54</v>
      </c>
      <c r="G41" s="5">
        <v>32</v>
      </c>
      <c r="H41" s="5" t="s">
        <v>27</v>
      </c>
      <c r="I41" s="5">
        <v>26</v>
      </c>
      <c r="J41" s="5">
        <v>18</v>
      </c>
      <c r="K41" s="5">
        <v>9.42</v>
      </c>
      <c r="L41" s="6">
        <v>6.3</v>
      </c>
      <c r="M41" s="5"/>
      <c r="N41" s="14">
        <v>0.29</v>
      </c>
      <c r="O41" s="14">
        <v>0.29</v>
      </c>
      <c r="P41" s="14" t="s">
        <v>75</v>
      </c>
      <c r="Q41" s="11">
        <v>3</v>
      </c>
      <c r="R41" s="11" t="s">
        <v>76</v>
      </c>
      <c r="S41" s="11">
        <f>((G41/1000)+(0.05*(T41-10))+0.5+0.2+0.1+0.1)</f>
        <v>1.6820000000000002</v>
      </c>
      <c r="T41" s="11">
        <v>25</v>
      </c>
      <c r="U41" s="11">
        <f t="shared" si="2"/>
        <v>4.682</v>
      </c>
      <c r="V41" s="11">
        <f t="shared" si="3"/>
        <v>1.6179999999999994</v>
      </c>
      <c r="W41" s="11">
        <v>0.9319999999999999</v>
      </c>
      <c r="X41" s="11">
        <v>3.932</v>
      </c>
      <c r="Y41" s="11">
        <v>2.368</v>
      </c>
      <c r="Z41" s="11" t="str">
        <f>IF(O41&lt;=1,IF(Y41&lt;=1,"YES","NO"),"NO-standby")</f>
        <v>NO</v>
      </c>
    </row>
    <row r="42" spans="1:26" ht="72">
      <c r="A42" s="4">
        <v>2</v>
      </c>
      <c r="B42" s="4" t="s">
        <v>78</v>
      </c>
      <c r="C42" s="5" t="s">
        <v>48</v>
      </c>
      <c r="D42" s="5" t="s">
        <v>49</v>
      </c>
      <c r="E42" s="5" t="s">
        <v>51</v>
      </c>
      <c r="F42" s="5" t="s">
        <v>54</v>
      </c>
      <c r="G42" s="5">
        <v>4</v>
      </c>
      <c r="H42" s="5" t="s">
        <v>27</v>
      </c>
      <c r="I42" s="5">
        <v>24</v>
      </c>
      <c r="J42" s="5">
        <v>18</v>
      </c>
      <c r="K42" s="5">
        <v>5.89</v>
      </c>
      <c r="L42" s="6">
        <v>5.14</v>
      </c>
      <c r="M42" s="5"/>
      <c r="N42" s="14">
        <v>0.67</v>
      </c>
      <c r="O42" s="14">
        <v>0.67</v>
      </c>
      <c r="P42" s="14" t="s">
        <v>75</v>
      </c>
      <c r="Q42" s="11">
        <v>3</v>
      </c>
      <c r="R42" s="11" t="s">
        <v>92</v>
      </c>
      <c r="S42" s="11">
        <f>((G42/1000)-0.5+(0.05*(T42-10))+0.2)</f>
        <v>-0.045999999999999985</v>
      </c>
      <c r="T42" s="11">
        <v>15</v>
      </c>
      <c r="U42" s="11">
        <f t="shared" si="2"/>
        <v>2.954</v>
      </c>
      <c r="V42" s="11">
        <f t="shared" si="3"/>
        <v>2.1859999999999995</v>
      </c>
      <c r="W42" s="11">
        <v>-0.296</v>
      </c>
      <c r="X42" s="11">
        <v>2.704</v>
      </c>
      <c r="Y42" s="11">
        <v>2.4359999999999995</v>
      </c>
      <c r="Z42" s="11" t="str">
        <f>IF(O42&lt;=1,IF(Y42&lt;=1,"YES","NO"),"NO-standby")</f>
        <v>NO</v>
      </c>
    </row>
    <row r="43" spans="1:26" ht="156">
      <c r="A43" s="4">
        <v>2</v>
      </c>
      <c r="B43" s="4" t="s">
        <v>29</v>
      </c>
      <c r="C43" s="5" t="s">
        <v>48</v>
      </c>
      <c r="D43" s="5" t="s">
        <v>49</v>
      </c>
      <c r="E43" s="5" t="s">
        <v>51</v>
      </c>
      <c r="F43" s="5" t="s">
        <v>54</v>
      </c>
      <c r="G43" s="5">
        <v>32</v>
      </c>
      <c r="H43" s="5" t="s">
        <v>27</v>
      </c>
      <c r="I43" s="5">
        <v>24</v>
      </c>
      <c r="J43" s="5">
        <v>17</v>
      </c>
      <c r="K43" s="5">
        <v>6.26</v>
      </c>
      <c r="L43" s="6">
        <v>3.83</v>
      </c>
      <c r="M43" s="5"/>
      <c r="N43" s="14">
        <v>0.22</v>
      </c>
      <c r="O43" s="14">
        <v>0.22</v>
      </c>
      <c r="P43" s="14" t="s">
        <v>58</v>
      </c>
      <c r="Q43" s="11">
        <f>0.5</f>
        <v>0.5</v>
      </c>
      <c r="R43" s="11" t="s">
        <v>74</v>
      </c>
      <c r="S43" s="11">
        <f>((G43/1000)+(0.05*(T43-10))+0.5+0.1+0.1)</f>
        <v>1.4820000000000002</v>
      </c>
      <c r="T43" s="11">
        <v>25</v>
      </c>
      <c r="U43" s="11">
        <f t="shared" si="2"/>
        <v>1.9820000000000002</v>
      </c>
      <c r="V43" s="11">
        <f t="shared" si="3"/>
        <v>1.8479999999999999</v>
      </c>
      <c r="W43" s="11">
        <v>0.732</v>
      </c>
      <c r="X43" s="11">
        <v>1.232</v>
      </c>
      <c r="Y43" s="11">
        <v>2.598</v>
      </c>
      <c r="Z43" s="11" t="str">
        <f>IF(O43&lt;=1,IF(Y43&lt;=1,"YES","NO"),"NO-standby")</f>
        <v>NO</v>
      </c>
    </row>
    <row r="44" spans="1:26" ht="12.75">
      <c r="A44" s="4">
        <v>2</v>
      </c>
      <c r="B44" s="4" t="s">
        <v>29</v>
      </c>
      <c r="C44" s="5" t="s">
        <v>48</v>
      </c>
      <c r="D44" s="5" t="s">
        <v>49</v>
      </c>
      <c r="E44" s="5" t="s">
        <v>51</v>
      </c>
      <c r="F44" s="5" t="s">
        <v>50</v>
      </c>
      <c r="G44" s="5">
        <v>64</v>
      </c>
      <c r="H44" s="5" t="s">
        <v>53</v>
      </c>
      <c r="I44" s="5">
        <v>30</v>
      </c>
      <c r="J44" s="5">
        <v>22</v>
      </c>
      <c r="K44" s="5">
        <v>0.701</v>
      </c>
      <c r="L44" s="6">
        <v>2.66</v>
      </c>
      <c r="M44" s="5"/>
      <c r="N44" s="14">
        <v>0.701</v>
      </c>
      <c r="O44" s="14">
        <v>0.701</v>
      </c>
      <c r="P44" s="14"/>
      <c r="Q44" s="11"/>
      <c r="R44" s="11"/>
      <c r="S44" s="11"/>
      <c r="T44" s="11">
        <v>47</v>
      </c>
      <c r="U44" s="11"/>
      <c r="V44" s="11">
        <f>L44</f>
        <v>2.66</v>
      </c>
      <c r="W44" s="11"/>
      <c r="X44" s="11"/>
      <c r="Y44" s="11">
        <v>2.66</v>
      </c>
      <c r="Z44" s="11" t="str">
        <f>IF(O44&lt;=1,IF(Y44&lt;=1,"YES","NO"),"NO-standby")</f>
        <v>NO</v>
      </c>
    </row>
    <row r="45" spans="1:26" ht="72">
      <c r="A45" s="4">
        <v>2</v>
      </c>
      <c r="B45" s="4" t="s">
        <v>29</v>
      </c>
      <c r="C45" s="5" t="s">
        <v>48</v>
      </c>
      <c r="D45" s="5" t="s">
        <v>49</v>
      </c>
      <c r="E45" s="5" t="s">
        <v>51</v>
      </c>
      <c r="F45" s="5" t="s">
        <v>67</v>
      </c>
      <c r="G45" s="5">
        <v>32</v>
      </c>
      <c r="H45" s="5" t="s">
        <v>53</v>
      </c>
      <c r="I45" s="5">
        <v>20</v>
      </c>
      <c r="J45" s="5">
        <v>14</v>
      </c>
      <c r="K45" s="5">
        <v>3.8</v>
      </c>
      <c r="L45" s="6">
        <v>3.6</v>
      </c>
      <c r="M45" s="5"/>
      <c r="N45" s="14">
        <v>0.3</v>
      </c>
      <c r="O45" s="14">
        <v>0.3</v>
      </c>
      <c r="P45" s="14" t="s">
        <v>60</v>
      </c>
      <c r="Q45" s="11">
        <v>0.3</v>
      </c>
      <c r="R45" s="11" t="s">
        <v>68</v>
      </c>
      <c r="S45" s="11">
        <f>((G45/1000)+(0.05*(T45-10))+0.5)</f>
        <v>1.032</v>
      </c>
      <c r="T45" s="11">
        <v>20</v>
      </c>
      <c r="U45" s="11">
        <f>Q45+S45</f>
        <v>1.332</v>
      </c>
      <c r="V45" s="11">
        <f>L45-U45</f>
        <v>2.268</v>
      </c>
      <c r="W45" s="11">
        <v>0.532</v>
      </c>
      <c r="X45" s="11">
        <v>0.8320000000000001</v>
      </c>
      <c r="Y45" s="11">
        <v>2.768</v>
      </c>
      <c r="Z45" s="11" t="str">
        <f>IF(O45&lt;=1,IF(Y45&lt;=1,"YES","NO"),"NO-standby")</f>
        <v>NO</v>
      </c>
    </row>
    <row r="46" spans="1:26" ht="48">
      <c r="A46" s="4">
        <v>2</v>
      </c>
      <c r="B46" s="4" t="s">
        <v>29</v>
      </c>
      <c r="C46" s="5" t="s">
        <v>48</v>
      </c>
      <c r="D46" s="5" t="s">
        <v>49</v>
      </c>
      <c r="E46" s="5" t="s">
        <v>51</v>
      </c>
      <c r="F46" s="5" t="s">
        <v>57</v>
      </c>
      <c r="G46" s="5" t="s">
        <v>63</v>
      </c>
      <c r="H46" s="5" t="s">
        <v>27</v>
      </c>
      <c r="I46" s="5">
        <v>15</v>
      </c>
      <c r="J46" s="5">
        <v>15</v>
      </c>
      <c r="K46" s="5">
        <v>8.2</v>
      </c>
      <c r="L46" s="6">
        <v>3.8</v>
      </c>
      <c r="M46" s="5"/>
      <c r="N46" s="14">
        <v>0.2</v>
      </c>
      <c r="O46" s="14">
        <v>0.2</v>
      </c>
      <c r="P46" s="14" t="s">
        <v>58</v>
      </c>
      <c r="Q46" s="11">
        <f>0.5</f>
        <v>0.5</v>
      </c>
      <c r="R46" s="11" t="s">
        <v>64</v>
      </c>
      <c r="S46" s="11">
        <v>0.5</v>
      </c>
      <c r="T46" s="11">
        <v>42</v>
      </c>
      <c r="U46" s="11">
        <f>Q46+S46</f>
        <v>1</v>
      </c>
      <c r="V46" s="11">
        <f>L46-U46</f>
        <v>2.8</v>
      </c>
      <c r="W46" s="11">
        <v>0.5</v>
      </c>
      <c r="X46" s="11">
        <v>1</v>
      </c>
      <c r="Y46" s="11">
        <v>2.8</v>
      </c>
      <c r="Z46" s="11" t="str">
        <f>IF(O46&lt;=1,IF(Y46&lt;=1,"YES","NO"),"NO-standby")</f>
        <v>NO</v>
      </c>
    </row>
    <row r="47" spans="1:26" ht="48">
      <c r="A47" s="4">
        <v>2</v>
      </c>
      <c r="B47" s="4" t="s">
        <v>29</v>
      </c>
      <c r="C47" s="5" t="s">
        <v>48</v>
      </c>
      <c r="D47" s="5" t="s">
        <v>49</v>
      </c>
      <c r="E47" s="5" t="s">
        <v>51</v>
      </c>
      <c r="F47" s="5" t="s">
        <v>57</v>
      </c>
      <c r="G47" s="5" t="s">
        <v>63</v>
      </c>
      <c r="H47" s="5" t="s">
        <v>27</v>
      </c>
      <c r="I47" s="5">
        <v>15</v>
      </c>
      <c r="J47" s="5">
        <v>15</v>
      </c>
      <c r="K47" s="5">
        <v>8.2</v>
      </c>
      <c r="L47" s="6">
        <v>3.8</v>
      </c>
      <c r="M47" s="5"/>
      <c r="N47" s="14">
        <v>0.2</v>
      </c>
      <c r="O47" s="14">
        <v>0.2</v>
      </c>
      <c r="P47" s="14" t="s">
        <v>58</v>
      </c>
      <c r="Q47" s="11">
        <f>0.5</f>
        <v>0.5</v>
      </c>
      <c r="R47" s="11" t="s">
        <v>64</v>
      </c>
      <c r="S47" s="11">
        <v>0.5</v>
      </c>
      <c r="T47" s="11">
        <v>42</v>
      </c>
      <c r="U47" s="11">
        <f>Q47+S47</f>
        <v>1</v>
      </c>
      <c r="V47" s="11">
        <f>L47-U47</f>
        <v>2.8</v>
      </c>
      <c r="W47" s="11">
        <v>0.5</v>
      </c>
      <c r="X47" s="11">
        <v>1</v>
      </c>
      <c r="Y47" s="11">
        <v>2.8</v>
      </c>
      <c r="Z47" s="11" t="str">
        <f>IF(O47&lt;=1,IF(Y47&lt;=1,"YES","NO"),"NO-standby")</f>
        <v>NO</v>
      </c>
    </row>
    <row r="48" spans="1:26" ht="12.75">
      <c r="A48" s="4">
        <v>2</v>
      </c>
      <c r="B48" s="4" t="s">
        <v>29</v>
      </c>
      <c r="C48" s="5" t="s">
        <v>48</v>
      </c>
      <c r="D48" s="5" t="s">
        <v>49</v>
      </c>
      <c r="E48" s="5" t="s">
        <v>51</v>
      </c>
      <c r="F48" s="5" t="s">
        <v>50</v>
      </c>
      <c r="G48" s="5">
        <v>32</v>
      </c>
      <c r="H48" s="5" t="s">
        <v>53</v>
      </c>
      <c r="I48" s="5">
        <v>29</v>
      </c>
      <c r="J48" s="5">
        <v>19</v>
      </c>
      <c r="K48" s="5">
        <v>0.909</v>
      </c>
      <c r="L48" s="6">
        <v>3</v>
      </c>
      <c r="M48" s="5"/>
      <c r="N48" s="14">
        <v>0.909</v>
      </c>
      <c r="O48" s="14">
        <v>0.909</v>
      </c>
      <c r="P48" s="14"/>
      <c r="Q48" s="11"/>
      <c r="R48" s="11"/>
      <c r="S48" s="11"/>
      <c r="T48" s="11">
        <v>48.62</v>
      </c>
      <c r="U48" s="11"/>
      <c r="V48" s="11">
        <f>L48</f>
        <v>3</v>
      </c>
      <c r="W48" s="11"/>
      <c r="X48" s="11"/>
      <c r="Y48" s="11">
        <v>3</v>
      </c>
      <c r="Z48" s="11" t="str">
        <f>IF(O48&lt;=1,IF(Y48&lt;=1,"YES","NO"),"NO-standby")</f>
        <v>NO</v>
      </c>
    </row>
    <row r="49" spans="1:26" ht="12.75">
      <c r="A49" s="4">
        <v>2</v>
      </c>
      <c r="B49" s="4" t="s">
        <v>29</v>
      </c>
      <c r="C49" s="5" t="s">
        <v>48</v>
      </c>
      <c r="D49" s="5" t="s">
        <v>49</v>
      </c>
      <c r="E49" s="5" t="s">
        <v>51</v>
      </c>
      <c r="F49" s="5" t="s">
        <v>50</v>
      </c>
      <c r="G49" s="5">
        <v>64</v>
      </c>
      <c r="H49" s="5" t="s">
        <v>27</v>
      </c>
      <c r="I49" s="5">
        <v>30</v>
      </c>
      <c r="J49" s="5">
        <v>24</v>
      </c>
      <c r="K49" s="5">
        <v>0.756</v>
      </c>
      <c r="L49" s="6">
        <v>3</v>
      </c>
      <c r="M49" s="5"/>
      <c r="N49" s="14">
        <v>0.756</v>
      </c>
      <c r="O49" s="14">
        <v>0.756</v>
      </c>
      <c r="P49" s="14"/>
      <c r="Q49" s="11"/>
      <c r="R49" s="11"/>
      <c r="S49" s="11"/>
      <c r="T49" s="11">
        <v>45.62</v>
      </c>
      <c r="U49" s="11"/>
      <c r="V49" s="11">
        <f>L49</f>
        <v>3</v>
      </c>
      <c r="W49" s="11"/>
      <c r="X49" s="11"/>
      <c r="Y49" s="11">
        <v>3</v>
      </c>
      <c r="Z49" s="11" t="str">
        <f>IF(O49&lt;=1,IF(Y49&lt;=1,"YES","NO"),"NO-standby")</f>
        <v>NO</v>
      </c>
    </row>
    <row r="50" spans="1:26" ht="12.75">
      <c r="A50" s="4">
        <v>2</v>
      </c>
      <c r="B50" s="4" t="s">
        <v>29</v>
      </c>
      <c r="C50" s="5" t="s">
        <v>48</v>
      </c>
      <c r="D50" s="5" t="s">
        <v>49</v>
      </c>
      <c r="E50" s="5" t="s">
        <v>51</v>
      </c>
      <c r="F50" s="5" t="s">
        <v>50</v>
      </c>
      <c r="G50" s="5">
        <v>32</v>
      </c>
      <c r="H50" s="5" t="s">
        <v>27</v>
      </c>
      <c r="I50" s="5">
        <v>29</v>
      </c>
      <c r="J50" s="5">
        <v>20</v>
      </c>
      <c r="K50" s="5">
        <v>0.945</v>
      </c>
      <c r="L50" s="6">
        <v>3</v>
      </c>
      <c r="M50" s="5"/>
      <c r="N50" s="14">
        <v>0.945</v>
      </c>
      <c r="O50" s="14">
        <v>0.945</v>
      </c>
      <c r="P50" s="14"/>
      <c r="Q50" s="11"/>
      <c r="R50" s="11"/>
      <c r="S50" s="11"/>
      <c r="T50" s="11">
        <v>39</v>
      </c>
      <c r="U50" s="11"/>
      <c r="V50" s="11">
        <f>L50</f>
        <v>3</v>
      </c>
      <c r="W50" s="11"/>
      <c r="X50" s="11"/>
      <c r="Y50" s="11">
        <v>3</v>
      </c>
      <c r="Z50" s="11" t="str">
        <f>IF(O50&lt;=1,IF(Y50&lt;=1,"YES","NO"),"NO-standby")</f>
        <v>NO</v>
      </c>
    </row>
    <row r="51" spans="1:26" ht="72">
      <c r="A51" s="4">
        <v>2</v>
      </c>
      <c r="B51" s="4" t="s">
        <v>78</v>
      </c>
      <c r="C51" s="5" t="s">
        <v>48</v>
      </c>
      <c r="D51" s="5" t="s">
        <v>49</v>
      </c>
      <c r="E51" s="5" t="s">
        <v>51</v>
      </c>
      <c r="F51" s="5" t="s">
        <v>69</v>
      </c>
      <c r="G51" s="5">
        <v>32</v>
      </c>
      <c r="H51" s="5" t="s">
        <v>53</v>
      </c>
      <c r="I51" s="5">
        <v>36</v>
      </c>
      <c r="J51" s="5">
        <v>35</v>
      </c>
      <c r="K51" s="5">
        <v>4.5</v>
      </c>
      <c r="L51" s="6">
        <v>4.5</v>
      </c>
      <c r="M51" s="5"/>
      <c r="N51" s="14">
        <v>0.3</v>
      </c>
      <c r="O51" s="14">
        <v>0.3</v>
      </c>
      <c r="P51" s="14" t="s">
        <v>31</v>
      </c>
      <c r="Q51" s="11">
        <f>0.5+0.5</f>
        <v>1</v>
      </c>
      <c r="R51" s="11" t="s">
        <v>85</v>
      </c>
      <c r="S51" s="11">
        <f>((G51/1000)+(0.05*(T51-10)))</f>
        <v>3.532</v>
      </c>
      <c r="T51" s="11">
        <v>80</v>
      </c>
      <c r="U51" s="11">
        <f aca="true" t="shared" si="4" ref="U51:U56">Q51+S51</f>
        <v>4.532</v>
      </c>
      <c r="V51" s="11">
        <f aca="true" t="shared" si="5" ref="V51:V56">L51-U51</f>
        <v>-0.03200000000000003</v>
      </c>
      <c r="W51" s="11">
        <v>0.032</v>
      </c>
      <c r="X51" s="11">
        <v>1.032</v>
      </c>
      <c r="Y51" s="11">
        <v>3.468</v>
      </c>
      <c r="Z51" s="11" t="str">
        <f>IF(O51&lt;=1,IF(Y51&lt;=1,"YES","NO"),"NO-standby")</f>
        <v>NO</v>
      </c>
    </row>
    <row r="52" spans="1:26" ht="72">
      <c r="A52" s="4">
        <v>2</v>
      </c>
      <c r="B52" s="4" t="s">
        <v>78</v>
      </c>
      <c r="C52" s="5" t="s">
        <v>48</v>
      </c>
      <c r="D52" s="5" t="s">
        <v>49</v>
      </c>
      <c r="E52" s="5" t="s">
        <v>51</v>
      </c>
      <c r="F52" s="5" t="s">
        <v>69</v>
      </c>
      <c r="G52" s="5">
        <v>32</v>
      </c>
      <c r="H52" s="5" t="s">
        <v>53</v>
      </c>
      <c r="I52" s="5">
        <v>36</v>
      </c>
      <c r="J52" s="5">
        <v>35</v>
      </c>
      <c r="K52" s="5">
        <v>4.5</v>
      </c>
      <c r="L52" s="6">
        <v>4.5</v>
      </c>
      <c r="M52" s="5"/>
      <c r="N52" s="14">
        <v>0.3</v>
      </c>
      <c r="O52" s="14">
        <v>0.3</v>
      </c>
      <c r="P52" s="14" t="s">
        <v>31</v>
      </c>
      <c r="Q52" s="11">
        <f>0.5+0.5</f>
        <v>1</v>
      </c>
      <c r="R52" s="11" t="s">
        <v>85</v>
      </c>
      <c r="S52" s="11">
        <f>((G52/1000)+(0.05*(T52-10)))</f>
        <v>3.532</v>
      </c>
      <c r="T52" s="11">
        <v>80</v>
      </c>
      <c r="U52" s="11">
        <f t="shared" si="4"/>
        <v>4.532</v>
      </c>
      <c r="V52" s="11">
        <f t="shared" si="5"/>
        <v>-0.03200000000000003</v>
      </c>
      <c r="W52" s="11">
        <v>0.032</v>
      </c>
      <c r="X52" s="11">
        <v>1.032</v>
      </c>
      <c r="Y52" s="11">
        <v>3.468</v>
      </c>
      <c r="Z52" s="11" t="str">
        <f>IF(O52&lt;=1,IF(Y52&lt;=1,"YES","NO"),"NO-standby")</f>
        <v>NO</v>
      </c>
    </row>
    <row r="53" spans="1:26" ht="72">
      <c r="A53" s="4">
        <v>2</v>
      </c>
      <c r="B53" s="4" t="s">
        <v>78</v>
      </c>
      <c r="C53" s="5" t="s">
        <v>48</v>
      </c>
      <c r="D53" s="5" t="s">
        <v>49</v>
      </c>
      <c r="E53" s="5" t="s">
        <v>51</v>
      </c>
      <c r="F53" s="5" t="s">
        <v>69</v>
      </c>
      <c r="G53" s="5">
        <v>32</v>
      </c>
      <c r="H53" s="5" t="s">
        <v>53</v>
      </c>
      <c r="I53" s="5">
        <v>36</v>
      </c>
      <c r="J53" s="5">
        <v>35</v>
      </c>
      <c r="K53" s="5">
        <v>4.5</v>
      </c>
      <c r="L53" s="6">
        <v>4.5</v>
      </c>
      <c r="M53" s="5"/>
      <c r="N53" s="14">
        <v>0.3</v>
      </c>
      <c r="O53" s="14">
        <v>0.3</v>
      </c>
      <c r="P53" s="14" t="s">
        <v>31</v>
      </c>
      <c r="Q53" s="11">
        <f>0.5+0.5</f>
        <v>1</v>
      </c>
      <c r="R53" s="11" t="s">
        <v>85</v>
      </c>
      <c r="S53" s="11">
        <f>((G53/1000)+(0.05*(T53-10)))</f>
        <v>3.532</v>
      </c>
      <c r="T53" s="11">
        <v>80</v>
      </c>
      <c r="U53" s="11">
        <f t="shared" si="4"/>
        <v>4.532</v>
      </c>
      <c r="V53" s="11">
        <f t="shared" si="5"/>
        <v>-0.03200000000000003</v>
      </c>
      <c r="W53" s="11">
        <v>0.032</v>
      </c>
      <c r="X53" s="11">
        <v>1.032</v>
      </c>
      <c r="Y53" s="11">
        <v>3.468</v>
      </c>
      <c r="Z53" s="11" t="str">
        <f>IF(O53&lt;=1,IF(Y53&lt;=1,"YES","NO"),"NO-standby")</f>
        <v>NO</v>
      </c>
    </row>
    <row r="54" spans="1:26" ht="132">
      <c r="A54" s="4">
        <v>2</v>
      </c>
      <c r="B54" s="4" t="s">
        <v>78</v>
      </c>
      <c r="C54" s="5" t="s">
        <v>48</v>
      </c>
      <c r="D54" s="5" t="s">
        <v>49</v>
      </c>
      <c r="E54" s="5" t="s">
        <v>51</v>
      </c>
      <c r="F54" s="5" t="s">
        <v>50</v>
      </c>
      <c r="G54" s="5">
        <v>62.5</v>
      </c>
      <c r="H54" s="5" t="s">
        <v>27</v>
      </c>
      <c r="I54" s="5">
        <v>15</v>
      </c>
      <c r="J54" s="5">
        <v>15</v>
      </c>
      <c r="K54" s="5">
        <v>7.5</v>
      </c>
      <c r="L54" s="6">
        <v>4.5</v>
      </c>
      <c r="M54" s="5"/>
      <c r="N54" s="14">
        <v>0.2</v>
      </c>
      <c r="O54" s="14">
        <v>0.2</v>
      </c>
      <c r="P54" s="14" t="s">
        <v>58</v>
      </c>
      <c r="Q54" s="11">
        <f>0.5</f>
        <v>0.5</v>
      </c>
      <c r="R54" s="11" t="s">
        <v>82</v>
      </c>
      <c r="S54" s="11">
        <f>(0.2+(0.05*(T54-10))+0.1+0.1+0.1)</f>
        <v>1.2600000000000002</v>
      </c>
      <c r="T54" s="11">
        <v>25.2</v>
      </c>
      <c r="U54" s="11">
        <f t="shared" si="4"/>
        <v>1.7600000000000002</v>
      </c>
      <c r="V54" s="11">
        <f t="shared" si="5"/>
        <v>2.7399999999999998</v>
      </c>
      <c r="W54" s="11">
        <v>0.5</v>
      </c>
      <c r="X54" s="11">
        <v>1</v>
      </c>
      <c r="Y54" s="11">
        <v>3.5</v>
      </c>
      <c r="Z54" s="11" t="str">
        <f>IF(O54&lt;=1,IF(Y54&lt;=1,"YES","NO"),"NO-standby")</f>
        <v>NO</v>
      </c>
    </row>
    <row r="55" spans="1:26" ht="96">
      <c r="A55" s="4">
        <v>2</v>
      </c>
      <c r="B55" s="4" t="s">
        <v>29</v>
      </c>
      <c r="C55" s="5" t="s">
        <v>48</v>
      </c>
      <c r="D55" s="5" t="s">
        <v>49</v>
      </c>
      <c r="E55" s="5" t="s">
        <v>51</v>
      </c>
      <c r="F55" s="5" t="s">
        <v>69</v>
      </c>
      <c r="G55" s="5">
        <v>68</v>
      </c>
      <c r="H55" s="5" t="s">
        <v>53</v>
      </c>
      <c r="I55" s="5">
        <v>35</v>
      </c>
      <c r="J55" s="5">
        <v>34</v>
      </c>
      <c r="K55" s="5">
        <v>12.71</v>
      </c>
      <c r="L55" s="6">
        <v>7.69</v>
      </c>
      <c r="M55" s="5"/>
      <c r="N55" s="14">
        <v>0.33</v>
      </c>
      <c r="O55" s="14">
        <v>0.33</v>
      </c>
      <c r="P55" s="14" t="s">
        <v>70</v>
      </c>
      <c r="Q55" s="11">
        <f>0.5+0.5+0.5</f>
        <v>1.5</v>
      </c>
      <c r="R55" s="11" t="s">
        <v>71</v>
      </c>
      <c r="S55" s="11">
        <f>((G55/1000)+(0.05*(T55-10))+2)</f>
        <v>5.568</v>
      </c>
      <c r="T55" s="11">
        <v>80</v>
      </c>
      <c r="U55" s="11">
        <f t="shared" si="4"/>
        <v>7.068</v>
      </c>
      <c r="V55" s="11">
        <f t="shared" si="5"/>
        <v>0.6220000000000008</v>
      </c>
      <c r="W55" s="11">
        <v>2.068</v>
      </c>
      <c r="X55" s="11">
        <v>3.568</v>
      </c>
      <c r="Y55" s="11">
        <v>4.122</v>
      </c>
      <c r="Z55" s="11" t="str">
        <f>IF(O55&lt;=1,IF(Y55&lt;=1,"YES","NO"),"NO-standby")</f>
        <v>NO</v>
      </c>
    </row>
    <row r="56" spans="1:26" ht="72">
      <c r="A56" s="4">
        <v>2</v>
      </c>
      <c r="B56" s="4" t="s">
        <v>29</v>
      </c>
      <c r="C56" s="5" t="s">
        <v>48</v>
      </c>
      <c r="D56" s="5" t="s">
        <v>49</v>
      </c>
      <c r="E56" s="5" t="s">
        <v>51</v>
      </c>
      <c r="F56" s="5" t="s">
        <v>72</v>
      </c>
      <c r="G56" s="5">
        <v>64</v>
      </c>
      <c r="H56" s="5" t="s">
        <v>27</v>
      </c>
      <c r="I56" s="5">
        <v>30</v>
      </c>
      <c r="J56" s="5">
        <v>29</v>
      </c>
      <c r="K56" s="5">
        <v>5.86</v>
      </c>
      <c r="L56" s="6">
        <v>5.86</v>
      </c>
      <c r="M56" s="5"/>
      <c r="N56" s="14">
        <v>0.75</v>
      </c>
      <c r="O56" s="14">
        <v>0.75</v>
      </c>
      <c r="P56" s="14" t="s">
        <v>73</v>
      </c>
      <c r="Q56" s="11">
        <f>0.5+0.5</f>
        <v>1</v>
      </c>
      <c r="R56" s="11" t="s">
        <v>68</v>
      </c>
      <c r="S56" s="11">
        <f>((G56/1000)+(0.05*(T56-10))+0.5)</f>
        <v>3.814</v>
      </c>
      <c r="T56" s="11">
        <v>75</v>
      </c>
      <c r="U56" s="11">
        <f t="shared" si="4"/>
        <v>4.814</v>
      </c>
      <c r="V56" s="11">
        <f t="shared" si="5"/>
        <v>1.0460000000000003</v>
      </c>
      <c r="W56" s="11">
        <v>0.5640000000000001</v>
      </c>
      <c r="X56" s="11">
        <v>1.564</v>
      </c>
      <c r="Y56" s="11">
        <v>4.296</v>
      </c>
      <c r="Z56" s="11" t="str">
        <f>IF(O56&lt;=1,IF(Y56&lt;=1,"YES","NO"),"NO-standby")</f>
        <v>NO</v>
      </c>
    </row>
  </sheetData>
  <mergeCells count="1">
    <mergeCell ref="W1:Y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Z41"/>
  <sheetViews>
    <sheetView showZeros="0" zoomScale="70" zoomScaleNormal="70" workbookViewId="0" topLeftCell="K1">
      <selection activeCell="V19" sqref="V19"/>
    </sheetView>
  </sheetViews>
  <sheetFormatPr defaultColWidth="9.140625" defaultRowHeight="12.75"/>
  <cols>
    <col min="1" max="1" width="10.140625" style="0" customWidth="1"/>
    <col min="2" max="25" width="15.7109375" style="0" customWidth="1"/>
    <col min="26" max="26" width="15.7109375" style="9" customWidth="1"/>
  </cols>
  <sheetData>
    <row r="1" spans="1:2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5" t="s">
        <v>224</v>
      </c>
      <c r="X1" s="15"/>
      <c r="Y1" s="15"/>
      <c r="Z1" s="7"/>
    </row>
    <row r="2" spans="1:26" s="3" customFormat="1" ht="63.7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12" t="s">
        <v>18</v>
      </c>
      <c r="X2" s="12" t="s">
        <v>20</v>
      </c>
      <c r="Y2" s="12" t="s">
        <v>21</v>
      </c>
      <c r="Z2" s="10" t="s">
        <v>223</v>
      </c>
    </row>
    <row r="3" spans="1:26" ht="12.75">
      <c r="A3" s="4">
        <v>3</v>
      </c>
      <c r="B3" s="4" t="s">
        <v>78</v>
      </c>
      <c r="C3" s="5" t="s">
        <v>23</v>
      </c>
      <c r="D3" s="5" t="s">
        <v>49</v>
      </c>
      <c r="E3" s="5" t="s">
        <v>51</v>
      </c>
      <c r="F3" s="5" t="s">
        <v>94</v>
      </c>
      <c r="G3" s="5">
        <v>64</v>
      </c>
      <c r="H3" s="5" t="s">
        <v>27</v>
      </c>
      <c r="I3" s="5">
        <v>13.3</v>
      </c>
      <c r="J3" s="5">
        <v>13.3</v>
      </c>
      <c r="K3" s="5">
        <v>0.47</v>
      </c>
      <c r="L3" s="6">
        <v>2.72</v>
      </c>
      <c r="M3" s="5"/>
      <c r="N3" s="5">
        <v>0.47</v>
      </c>
      <c r="O3" s="5">
        <v>0.47</v>
      </c>
      <c r="P3" s="5"/>
      <c r="Q3" s="6"/>
      <c r="R3" s="6"/>
      <c r="S3" s="6"/>
      <c r="T3" s="6">
        <v>86</v>
      </c>
      <c r="U3" s="6"/>
      <c r="V3" s="6">
        <f aca="true" t="shared" si="0" ref="V3:V18">L3</f>
        <v>2.72</v>
      </c>
      <c r="W3" s="6"/>
      <c r="X3" s="6"/>
      <c r="Y3" s="16">
        <v>2.72</v>
      </c>
      <c r="Z3" s="11" t="s">
        <v>225</v>
      </c>
    </row>
    <row r="4" spans="1:26" ht="12.75">
      <c r="A4" s="4">
        <v>3</v>
      </c>
      <c r="B4" s="4" t="s">
        <v>78</v>
      </c>
      <c r="C4" s="5" t="s">
        <v>23</v>
      </c>
      <c r="D4" s="5" t="s">
        <v>49</v>
      </c>
      <c r="E4" s="5" t="s">
        <v>51</v>
      </c>
      <c r="F4" s="5" t="s">
        <v>98</v>
      </c>
      <c r="G4" s="5">
        <v>128</v>
      </c>
      <c r="H4" s="5" t="s">
        <v>27</v>
      </c>
      <c r="I4" s="5">
        <v>16</v>
      </c>
      <c r="J4" s="5">
        <v>16</v>
      </c>
      <c r="K4" s="5">
        <v>0.32</v>
      </c>
      <c r="L4" s="6">
        <v>2.8</v>
      </c>
      <c r="M4" s="5"/>
      <c r="N4" s="5">
        <v>0.32</v>
      </c>
      <c r="O4" s="5">
        <v>0.32</v>
      </c>
      <c r="P4" s="5"/>
      <c r="Q4" s="6"/>
      <c r="R4" s="6"/>
      <c r="S4" s="6"/>
      <c r="T4" s="6">
        <v>174</v>
      </c>
      <c r="U4" s="6"/>
      <c r="V4" s="6">
        <f t="shared" si="0"/>
        <v>2.8</v>
      </c>
      <c r="W4" s="6"/>
      <c r="X4" s="6"/>
      <c r="Y4" s="16">
        <v>2.8</v>
      </c>
      <c r="Z4" s="11" t="s">
        <v>225</v>
      </c>
    </row>
    <row r="5" spans="1:26" ht="12.75">
      <c r="A5" s="4">
        <v>3</v>
      </c>
      <c r="B5" s="4" t="s">
        <v>78</v>
      </c>
      <c r="C5" s="5" t="s">
        <v>23</v>
      </c>
      <c r="D5" s="5" t="s">
        <v>49</v>
      </c>
      <c r="E5" s="5" t="s">
        <v>51</v>
      </c>
      <c r="F5" s="5" t="s">
        <v>99</v>
      </c>
      <c r="G5" s="5">
        <v>128</v>
      </c>
      <c r="H5" s="5" t="s">
        <v>27</v>
      </c>
      <c r="I5" s="5">
        <v>17</v>
      </c>
      <c r="J5" s="5">
        <v>17</v>
      </c>
      <c r="K5" s="5">
        <v>0.34</v>
      </c>
      <c r="L5" s="6">
        <v>2.8</v>
      </c>
      <c r="M5" s="5"/>
      <c r="N5" s="5">
        <v>0.34</v>
      </c>
      <c r="O5" s="5">
        <v>0.34</v>
      </c>
      <c r="P5" s="5"/>
      <c r="Q5" s="6"/>
      <c r="R5" s="6"/>
      <c r="S5" s="6"/>
      <c r="T5" s="6">
        <v>174</v>
      </c>
      <c r="U5" s="6"/>
      <c r="V5" s="6">
        <f t="shared" si="0"/>
        <v>2.8</v>
      </c>
      <c r="W5" s="6"/>
      <c r="X5" s="6"/>
      <c r="Y5" s="16">
        <v>2.8</v>
      </c>
      <c r="Z5" s="11" t="s">
        <v>225</v>
      </c>
    </row>
    <row r="6" spans="1:26" ht="12.75">
      <c r="A6" s="4">
        <v>3</v>
      </c>
      <c r="B6" s="4" t="s">
        <v>78</v>
      </c>
      <c r="C6" s="5" t="s">
        <v>23</v>
      </c>
      <c r="D6" s="5" t="s">
        <v>49</v>
      </c>
      <c r="E6" s="5" t="s">
        <v>51</v>
      </c>
      <c r="F6" s="5" t="s">
        <v>122</v>
      </c>
      <c r="G6" s="5">
        <v>128</v>
      </c>
      <c r="H6" s="5" t="s">
        <v>27</v>
      </c>
      <c r="I6" s="5">
        <v>23</v>
      </c>
      <c r="J6" s="5">
        <v>23</v>
      </c>
      <c r="K6" s="5">
        <v>156</v>
      </c>
      <c r="L6" s="6">
        <v>3</v>
      </c>
      <c r="M6" s="5"/>
      <c r="N6" s="5">
        <v>0</v>
      </c>
      <c r="O6" s="5">
        <v>0</v>
      </c>
      <c r="P6" s="5"/>
      <c r="Q6" s="6"/>
      <c r="R6" s="6"/>
      <c r="S6" s="6"/>
      <c r="T6" s="6">
        <v>233</v>
      </c>
      <c r="U6" s="6"/>
      <c r="V6" s="6">
        <f t="shared" si="0"/>
        <v>3</v>
      </c>
      <c r="W6" s="6"/>
      <c r="X6" s="6"/>
      <c r="Y6" s="16">
        <v>3</v>
      </c>
      <c r="Z6" s="11" t="s">
        <v>225</v>
      </c>
    </row>
    <row r="7" spans="1:26" ht="12.75">
      <c r="A7" s="4">
        <v>3</v>
      </c>
      <c r="B7" s="4" t="s">
        <v>78</v>
      </c>
      <c r="C7" s="5" t="s">
        <v>23</v>
      </c>
      <c r="D7" s="5" t="s">
        <v>49</v>
      </c>
      <c r="E7" s="5" t="s">
        <v>51</v>
      </c>
      <c r="F7" s="5" t="s">
        <v>122</v>
      </c>
      <c r="G7" s="5">
        <v>128</v>
      </c>
      <c r="H7" s="5" t="s">
        <v>27</v>
      </c>
      <c r="I7" s="5">
        <v>23</v>
      </c>
      <c r="J7" s="5">
        <v>23</v>
      </c>
      <c r="K7" s="5">
        <v>156</v>
      </c>
      <c r="L7" s="6">
        <v>3</v>
      </c>
      <c r="M7" s="5"/>
      <c r="N7" s="5">
        <v>0</v>
      </c>
      <c r="O7" s="5">
        <v>0</v>
      </c>
      <c r="P7" s="5"/>
      <c r="Q7" s="6"/>
      <c r="R7" s="6"/>
      <c r="S7" s="6"/>
      <c r="T7" s="6">
        <v>233</v>
      </c>
      <c r="U7" s="6"/>
      <c r="V7" s="6">
        <f t="shared" si="0"/>
        <v>3</v>
      </c>
      <c r="W7" s="6"/>
      <c r="X7" s="6"/>
      <c r="Y7" s="16">
        <v>3</v>
      </c>
      <c r="Z7" s="11" t="s">
        <v>225</v>
      </c>
    </row>
    <row r="8" spans="1:26" ht="12.75">
      <c r="A8" s="4">
        <v>3</v>
      </c>
      <c r="B8" s="4" t="s">
        <v>78</v>
      </c>
      <c r="C8" s="5" t="s">
        <v>23</v>
      </c>
      <c r="D8" s="5" t="s">
        <v>49</v>
      </c>
      <c r="E8" s="5" t="s">
        <v>51</v>
      </c>
      <c r="F8" s="5" t="s">
        <v>95</v>
      </c>
      <c r="G8" s="5">
        <v>0.49</v>
      </c>
      <c r="H8" s="5" t="s">
        <v>27</v>
      </c>
      <c r="I8" s="5">
        <v>5</v>
      </c>
      <c r="J8" s="5">
        <v>5</v>
      </c>
      <c r="K8" s="5">
        <v>0.49</v>
      </c>
      <c r="L8" s="6">
        <v>3.09</v>
      </c>
      <c r="M8" s="5"/>
      <c r="N8" s="5">
        <v>0.49</v>
      </c>
      <c r="O8" s="5">
        <v>0.49</v>
      </c>
      <c r="P8" s="5"/>
      <c r="Q8" s="6"/>
      <c r="R8" s="6"/>
      <c r="S8" s="6"/>
      <c r="T8" s="6">
        <v>86</v>
      </c>
      <c r="U8" s="6"/>
      <c r="V8" s="6">
        <f t="shared" si="0"/>
        <v>3.09</v>
      </c>
      <c r="W8" s="6"/>
      <c r="X8" s="6"/>
      <c r="Y8" s="16">
        <v>3.09</v>
      </c>
      <c r="Z8" s="11" t="s">
        <v>225</v>
      </c>
    </row>
    <row r="9" spans="1:26" ht="12.75">
      <c r="A9" s="4">
        <v>3</v>
      </c>
      <c r="B9" s="4" t="s">
        <v>78</v>
      </c>
      <c r="C9" s="5" t="s">
        <v>23</v>
      </c>
      <c r="D9" s="5" t="s">
        <v>49</v>
      </c>
      <c r="E9" s="5" t="s">
        <v>51</v>
      </c>
      <c r="F9" s="5" t="s">
        <v>96</v>
      </c>
      <c r="G9" s="5">
        <v>128</v>
      </c>
      <c r="H9" s="5" t="s">
        <v>27</v>
      </c>
      <c r="I9" s="5">
        <v>13.3</v>
      </c>
      <c r="J9" s="5">
        <v>13.3</v>
      </c>
      <c r="K9" s="5">
        <v>0.32</v>
      </c>
      <c r="L9" s="6">
        <v>3.13</v>
      </c>
      <c r="M9" s="5"/>
      <c r="N9" s="5">
        <v>0.5</v>
      </c>
      <c r="O9" s="5">
        <v>0.5</v>
      </c>
      <c r="P9" s="5"/>
      <c r="Q9" s="6"/>
      <c r="R9" s="6"/>
      <c r="S9" s="6"/>
      <c r="T9" s="6">
        <v>86</v>
      </c>
      <c r="U9" s="6"/>
      <c r="V9" s="6">
        <f t="shared" si="0"/>
        <v>3.13</v>
      </c>
      <c r="W9" s="6"/>
      <c r="X9" s="6"/>
      <c r="Y9" s="16">
        <v>3.13</v>
      </c>
      <c r="Z9" s="11" t="s">
        <v>225</v>
      </c>
    </row>
    <row r="10" spans="1:26" ht="12.75">
      <c r="A10" s="4">
        <v>3</v>
      </c>
      <c r="B10" s="4" t="s">
        <v>78</v>
      </c>
      <c r="C10" s="5" t="s">
        <v>23</v>
      </c>
      <c r="D10" s="5" t="s">
        <v>49</v>
      </c>
      <c r="E10" s="5" t="s">
        <v>51</v>
      </c>
      <c r="F10" s="5" t="s">
        <v>100</v>
      </c>
      <c r="G10" s="5">
        <v>256</v>
      </c>
      <c r="H10" s="5" t="s">
        <v>27</v>
      </c>
      <c r="I10" s="5">
        <v>6.9</v>
      </c>
      <c r="J10" s="5">
        <v>6.9</v>
      </c>
      <c r="K10" s="5">
        <v>0.32</v>
      </c>
      <c r="L10" s="6">
        <v>3.25</v>
      </c>
      <c r="M10" s="5"/>
      <c r="N10" s="5">
        <v>0.32</v>
      </c>
      <c r="O10" s="5">
        <v>0.32</v>
      </c>
      <c r="P10" s="5"/>
      <c r="Q10" s="6"/>
      <c r="R10" s="6"/>
      <c r="S10" s="6"/>
      <c r="T10" s="6">
        <v>174</v>
      </c>
      <c r="U10" s="6"/>
      <c r="V10" s="6">
        <f t="shared" si="0"/>
        <v>3.25</v>
      </c>
      <c r="W10" s="6"/>
      <c r="X10" s="6"/>
      <c r="Y10" s="16">
        <v>3.25</v>
      </c>
      <c r="Z10" s="11" t="s">
        <v>225</v>
      </c>
    </row>
    <row r="11" spans="1:26" ht="12.75">
      <c r="A11" s="4">
        <v>3</v>
      </c>
      <c r="B11" s="4" t="s">
        <v>78</v>
      </c>
      <c r="C11" s="5" t="s">
        <v>23</v>
      </c>
      <c r="D11" s="5" t="s">
        <v>49</v>
      </c>
      <c r="E11" s="5" t="s">
        <v>51</v>
      </c>
      <c r="F11" s="5" t="s">
        <v>102</v>
      </c>
      <c r="G11" s="5">
        <v>512</v>
      </c>
      <c r="H11" s="5" t="s">
        <v>27</v>
      </c>
      <c r="I11" s="5">
        <v>7.3</v>
      </c>
      <c r="J11" s="5">
        <v>7.3</v>
      </c>
      <c r="K11" s="5">
        <v>0.32</v>
      </c>
      <c r="L11" s="6">
        <v>3.34</v>
      </c>
      <c r="M11" s="5"/>
      <c r="N11" s="5">
        <v>0.32</v>
      </c>
      <c r="O11" s="5">
        <v>0.32</v>
      </c>
      <c r="P11" s="5"/>
      <c r="Q11" s="6"/>
      <c r="R11" s="6"/>
      <c r="S11" s="6"/>
      <c r="T11" s="6">
        <v>174</v>
      </c>
      <c r="U11" s="6"/>
      <c r="V11" s="6">
        <f t="shared" si="0"/>
        <v>3.34</v>
      </c>
      <c r="W11" s="6"/>
      <c r="X11" s="6"/>
      <c r="Y11" s="16">
        <v>3.34</v>
      </c>
      <c r="Z11" s="11" t="s">
        <v>225</v>
      </c>
    </row>
    <row r="12" spans="1:26" ht="12.75">
      <c r="A12" s="4">
        <v>3</v>
      </c>
      <c r="B12" s="4" t="s">
        <v>78</v>
      </c>
      <c r="C12" s="5" t="s">
        <v>23</v>
      </c>
      <c r="D12" s="5" t="s">
        <v>49</v>
      </c>
      <c r="E12" s="5" t="s">
        <v>51</v>
      </c>
      <c r="F12" s="5" t="s">
        <v>97</v>
      </c>
      <c r="G12" s="5">
        <v>128</v>
      </c>
      <c r="H12" s="5" t="s">
        <v>27</v>
      </c>
      <c r="I12" s="5">
        <v>15</v>
      </c>
      <c r="J12" s="5">
        <v>15</v>
      </c>
      <c r="K12" s="5">
        <v>0.57</v>
      </c>
      <c r="L12" s="6">
        <v>3.5</v>
      </c>
      <c r="M12" s="5"/>
      <c r="N12" s="5">
        <v>0.57</v>
      </c>
      <c r="O12" s="5">
        <v>0.57</v>
      </c>
      <c r="P12" s="5"/>
      <c r="Q12" s="6"/>
      <c r="R12" s="6"/>
      <c r="S12" s="6"/>
      <c r="T12" s="6">
        <v>86</v>
      </c>
      <c r="U12" s="6"/>
      <c r="V12" s="6">
        <f t="shared" si="0"/>
        <v>3.5</v>
      </c>
      <c r="W12" s="6"/>
      <c r="X12" s="6"/>
      <c r="Y12" s="16">
        <v>3.5</v>
      </c>
      <c r="Z12" s="11" t="s">
        <v>225</v>
      </c>
    </row>
    <row r="13" spans="1:26" ht="12.75">
      <c r="A13" s="4">
        <v>3</v>
      </c>
      <c r="B13" s="4" t="s">
        <v>78</v>
      </c>
      <c r="C13" s="5" t="s">
        <v>23</v>
      </c>
      <c r="D13" s="5" t="s">
        <v>49</v>
      </c>
      <c r="E13" s="5" t="s">
        <v>51</v>
      </c>
      <c r="F13" s="5" t="s">
        <v>94</v>
      </c>
      <c r="G13" s="5">
        <v>192</v>
      </c>
      <c r="H13" s="5" t="s">
        <v>27</v>
      </c>
      <c r="I13" s="5">
        <v>6.7</v>
      </c>
      <c r="J13" s="5">
        <v>6.7</v>
      </c>
      <c r="K13" s="5">
        <v>0.73</v>
      </c>
      <c r="L13" s="6">
        <v>3.67</v>
      </c>
      <c r="M13" s="5"/>
      <c r="N13" s="5">
        <v>0.73</v>
      </c>
      <c r="O13" s="5">
        <v>0.73</v>
      </c>
      <c r="P13" s="5"/>
      <c r="Q13" s="6"/>
      <c r="R13" s="6"/>
      <c r="S13" s="6"/>
      <c r="T13" s="6">
        <v>86</v>
      </c>
      <c r="U13" s="6"/>
      <c r="V13" s="6">
        <f t="shared" si="0"/>
        <v>3.67</v>
      </c>
      <c r="W13" s="6"/>
      <c r="X13" s="6"/>
      <c r="Y13" s="16">
        <v>3.67</v>
      </c>
      <c r="Z13" s="11" t="s">
        <v>225</v>
      </c>
    </row>
    <row r="14" spans="1:26" ht="12.75">
      <c r="A14" s="4">
        <v>3</v>
      </c>
      <c r="B14" s="4" t="s">
        <v>78</v>
      </c>
      <c r="C14" s="5" t="s">
        <v>23</v>
      </c>
      <c r="D14" s="5" t="s">
        <v>49</v>
      </c>
      <c r="E14" s="5" t="s">
        <v>51</v>
      </c>
      <c r="F14" s="5" t="s">
        <v>96</v>
      </c>
      <c r="G14" s="5">
        <v>384</v>
      </c>
      <c r="H14" s="5" t="s">
        <v>27</v>
      </c>
      <c r="I14" s="5">
        <v>6.7</v>
      </c>
      <c r="J14" s="5">
        <v>6.7</v>
      </c>
      <c r="K14" s="5">
        <v>0.69</v>
      </c>
      <c r="L14" s="6">
        <v>3.87</v>
      </c>
      <c r="M14" s="5"/>
      <c r="N14" s="5">
        <v>0.69</v>
      </c>
      <c r="O14" s="5">
        <v>0.69</v>
      </c>
      <c r="P14" s="5"/>
      <c r="Q14" s="6"/>
      <c r="R14" s="6"/>
      <c r="S14" s="6"/>
      <c r="T14" s="6">
        <v>86</v>
      </c>
      <c r="U14" s="6"/>
      <c r="V14" s="6">
        <f t="shared" si="0"/>
        <v>3.87</v>
      </c>
      <c r="W14" s="6"/>
      <c r="X14" s="6"/>
      <c r="Y14" s="16">
        <v>3.87</v>
      </c>
      <c r="Z14" s="11" t="s">
        <v>225</v>
      </c>
    </row>
    <row r="15" spans="1:26" ht="12.75">
      <c r="A15" s="4">
        <v>3</v>
      </c>
      <c r="B15" s="4" t="s">
        <v>78</v>
      </c>
      <c r="C15" s="5" t="s">
        <v>23</v>
      </c>
      <c r="D15" s="5" t="s">
        <v>49</v>
      </c>
      <c r="E15" s="5" t="s">
        <v>51</v>
      </c>
      <c r="F15" s="5" t="s">
        <v>100</v>
      </c>
      <c r="G15" s="5">
        <v>384</v>
      </c>
      <c r="H15" s="5" t="s">
        <v>27</v>
      </c>
      <c r="I15" s="5">
        <v>8.9</v>
      </c>
      <c r="J15" s="5">
        <v>8.9</v>
      </c>
      <c r="K15" s="5">
        <v>0.35</v>
      </c>
      <c r="L15" s="6">
        <v>3.9</v>
      </c>
      <c r="M15" s="5"/>
      <c r="N15" s="5">
        <v>0.35</v>
      </c>
      <c r="O15" s="5">
        <v>0.35</v>
      </c>
      <c r="P15" s="5"/>
      <c r="Q15" s="6"/>
      <c r="R15" s="6"/>
      <c r="S15" s="6"/>
      <c r="T15" s="6">
        <v>174</v>
      </c>
      <c r="U15" s="6"/>
      <c r="V15" s="6">
        <f t="shared" si="0"/>
        <v>3.9</v>
      </c>
      <c r="W15" s="6"/>
      <c r="X15" s="6"/>
      <c r="Y15" s="16">
        <v>3.9</v>
      </c>
      <c r="Z15" s="11" t="s">
        <v>225</v>
      </c>
    </row>
    <row r="16" spans="1:26" ht="12.75">
      <c r="A16" s="4">
        <v>3</v>
      </c>
      <c r="B16" s="4" t="s">
        <v>78</v>
      </c>
      <c r="C16" s="5" t="s">
        <v>23</v>
      </c>
      <c r="D16" s="5" t="s">
        <v>49</v>
      </c>
      <c r="E16" s="5" t="s">
        <v>51</v>
      </c>
      <c r="F16" s="5" t="s">
        <v>101</v>
      </c>
      <c r="G16" s="5">
        <v>384</v>
      </c>
      <c r="H16" s="5" t="s">
        <v>27</v>
      </c>
      <c r="I16" s="5">
        <v>7</v>
      </c>
      <c r="J16" s="5">
        <v>7</v>
      </c>
      <c r="K16" s="5">
        <v>0.34</v>
      </c>
      <c r="L16" s="6">
        <v>3.9</v>
      </c>
      <c r="M16" s="5"/>
      <c r="N16" s="5">
        <v>0.34</v>
      </c>
      <c r="O16" s="5">
        <v>0.34</v>
      </c>
      <c r="P16" s="5"/>
      <c r="Q16" s="6"/>
      <c r="R16" s="6"/>
      <c r="S16" s="6"/>
      <c r="T16" s="6">
        <v>174</v>
      </c>
      <c r="U16" s="6"/>
      <c r="V16" s="6">
        <f t="shared" si="0"/>
        <v>3.9</v>
      </c>
      <c r="W16" s="6"/>
      <c r="X16" s="6"/>
      <c r="Y16" s="16">
        <v>3.9</v>
      </c>
      <c r="Z16" s="11" t="s">
        <v>225</v>
      </c>
    </row>
    <row r="17" spans="1:26" ht="12.75">
      <c r="A17" s="4">
        <v>3</v>
      </c>
      <c r="B17" s="4" t="s">
        <v>78</v>
      </c>
      <c r="C17" s="5" t="s">
        <v>23</v>
      </c>
      <c r="D17" s="5" t="s">
        <v>49</v>
      </c>
      <c r="E17" s="5" t="s">
        <v>51</v>
      </c>
      <c r="F17" s="5" t="s">
        <v>102</v>
      </c>
      <c r="G17" s="5">
        <v>640</v>
      </c>
      <c r="H17" s="5" t="s">
        <v>27</v>
      </c>
      <c r="I17" s="5">
        <v>8.9</v>
      </c>
      <c r="J17" s="5">
        <v>8.9</v>
      </c>
      <c r="K17" s="5">
        <v>0.34</v>
      </c>
      <c r="L17" s="6">
        <v>3.9</v>
      </c>
      <c r="M17" s="5"/>
      <c r="N17" s="5">
        <v>0.34</v>
      </c>
      <c r="O17" s="5">
        <v>0.34</v>
      </c>
      <c r="P17" s="5"/>
      <c r="Q17" s="6"/>
      <c r="R17" s="6"/>
      <c r="S17" s="6"/>
      <c r="T17" s="6">
        <v>174</v>
      </c>
      <c r="U17" s="6"/>
      <c r="V17" s="6">
        <f t="shared" si="0"/>
        <v>3.9</v>
      </c>
      <c r="W17" s="6"/>
      <c r="X17" s="6"/>
      <c r="Y17" s="16">
        <v>3.9</v>
      </c>
      <c r="Z17" s="11" t="s">
        <v>225</v>
      </c>
    </row>
    <row r="18" spans="1:26" ht="12.75">
      <c r="A18" s="4">
        <v>3</v>
      </c>
      <c r="B18" s="4" t="s">
        <v>78</v>
      </c>
      <c r="C18" s="5" t="s">
        <v>23</v>
      </c>
      <c r="D18" s="5" t="s">
        <v>49</v>
      </c>
      <c r="E18" s="5" t="s">
        <v>51</v>
      </c>
      <c r="F18" s="5" t="s">
        <v>103</v>
      </c>
      <c r="G18" s="5">
        <v>640</v>
      </c>
      <c r="H18" s="5" t="s">
        <v>27</v>
      </c>
      <c r="I18" s="5">
        <v>7</v>
      </c>
      <c r="J18" s="5">
        <v>7</v>
      </c>
      <c r="K18" s="5">
        <v>0.35</v>
      </c>
      <c r="L18" s="6">
        <v>3.9</v>
      </c>
      <c r="M18" s="5"/>
      <c r="N18" s="5">
        <v>0.35</v>
      </c>
      <c r="O18" s="5">
        <v>0.35</v>
      </c>
      <c r="P18" s="5"/>
      <c r="Q18" s="6"/>
      <c r="R18" s="6"/>
      <c r="S18" s="6"/>
      <c r="T18" s="6">
        <v>174</v>
      </c>
      <c r="U18" s="6"/>
      <c r="V18" s="6">
        <f t="shared" si="0"/>
        <v>3.9</v>
      </c>
      <c r="W18" s="6"/>
      <c r="X18" s="6"/>
      <c r="Y18" s="16">
        <v>3.9</v>
      </c>
      <c r="Z18" s="11" t="s">
        <v>225</v>
      </c>
    </row>
    <row r="19" spans="1:26" ht="72">
      <c r="A19" s="4">
        <v>3</v>
      </c>
      <c r="B19" s="4" t="s">
        <v>78</v>
      </c>
      <c r="C19" s="5" t="s">
        <v>23</v>
      </c>
      <c r="D19" s="5" t="s">
        <v>49</v>
      </c>
      <c r="E19" s="5" t="s">
        <v>51</v>
      </c>
      <c r="F19" s="5" t="s">
        <v>107</v>
      </c>
      <c r="G19" s="5">
        <v>128</v>
      </c>
      <c r="H19" s="5" t="s">
        <v>27</v>
      </c>
      <c r="I19" s="5">
        <v>2</v>
      </c>
      <c r="J19" s="5">
        <v>2</v>
      </c>
      <c r="K19" s="5">
        <v>15</v>
      </c>
      <c r="L19" s="6">
        <v>5</v>
      </c>
      <c r="M19" s="5">
        <v>1</v>
      </c>
      <c r="N19" s="5">
        <v>1</v>
      </c>
      <c r="O19" s="5">
        <v>5</v>
      </c>
      <c r="P19" s="5" t="s">
        <v>108</v>
      </c>
      <c r="Q19" s="6">
        <v>0.5</v>
      </c>
      <c r="R19" s="6" t="s">
        <v>109</v>
      </c>
      <c r="S19" s="6">
        <f>((0.05*(T19-10))+0.2)</f>
        <v>3.1200000000000006</v>
      </c>
      <c r="T19" s="6">
        <v>68.4</v>
      </c>
      <c r="U19" s="6">
        <f>Q19+S19</f>
        <v>3.6200000000000006</v>
      </c>
      <c r="V19" s="6">
        <f>L19-U19</f>
        <v>1.3799999999999994</v>
      </c>
      <c r="W19" s="6">
        <v>0.2</v>
      </c>
      <c r="X19" s="6">
        <v>0.7</v>
      </c>
      <c r="Y19" s="16">
        <v>4.3</v>
      </c>
      <c r="Z19" s="11" t="s">
        <v>226</v>
      </c>
    </row>
    <row r="20" spans="1:26" ht="12.75">
      <c r="A20" s="4">
        <v>3</v>
      </c>
      <c r="B20" s="4" t="s">
        <v>78</v>
      </c>
      <c r="C20" s="5" t="s">
        <v>23</v>
      </c>
      <c r="D20" s="5" t="s">
        <v>49</v>
      </c>
      <c r="E20" s="5" t="s">
        <v>51</v>
      </c>
      <c r="F20" s="5" t="s">
        <v>100</v>
      </c>
      <c r="G20" s="5">
        <v>208</v>
      </c>
      <c r="H20" s="5" t="s">
        <v>27</v>
      </c>
      <c r="I20" s="5">
        <v>7.3</v>
      </c>
      <c r="J20" s="5">
        <v>7.3</v>
      </c>
      <c r="K20" s="5">
        <v>0.3</v>
      </c>
      <c r="L20" s="6">
        <v>4.72</v>
      </c>
      <c r="M20" s="5"/>
      <c r="N20" s="5">
        <v>0.3</v>
      </c>
      <c r="O20" s="5">
        <v>0.3</v>
      </c>
      <c r="P20" s="5"/>
      <c r="Q20" s="6"/>
      <c r="R20" s="6"/>
      <c r="S20" s="6"/>
      <c r="T20" s="6">
        <v>136</v>
      </c>
      <c r="U20" s="6"/>
      <c r="V20" s="6">
        <f>L20</f>
        <v>4.72</v>
      </c>
      <c r="W20" s="6"/>
      <c r="X20" s="6"/>
      <c r="Y20" s="16">
        <v>4.72</v>
      </c>
      <c r="Z20" s="11" t="s">
        <v>225</v>
      </c>
    </row>
    <row r="21" spans="1:26" ht="96">
      <c r="A21" s="4">
        <v>3</v>
      </c>
      <c r="B21" s="4" t="s">
        <v>78</v>
      </c>
      <c r="C21" s="5" t="s">
        <v>23</v>
      </c>
      <c r="D21" s="5" t="s">
        <v>49</v>
      </c>
      <c r="E21" s="5" t="s">
        <v>51</v>
      </c>
      <c r="F21" s="5" t="s">
        <v>111</v>
      </c>
      <c r="G21" s="5">
        <v>192</v>
      </c>
      <c r="H21" s="5" t="s">
        <v>27</v>
      </c>
      <c r="I21" s="5">
        <v>2</v>
      </c>
      <c r="J21" s="5">
        <v>2</v>
      </c>
      <c r="K21" s="5">
        <v>15</v>
      </c>
      <c r="L21" s="6">
        <v>6</v>
      </c>
      <c r="M21" s="5"/>
      <c r="N21" s="5">
        <v>1</v>
      </c>
      <c r="O21" s="5">
        <v>1</v>
      </c>
      <c r="P21" s="5" t="s">
        <v>112</v>
      </c>
      <c r="Q21" s="6">
        <f>0.5+0.5</f>
        <v>1</v>
      </c>
      <c r="R21" s="6" t="s">
        <v>109</v>
      </c>
      <c r="S21" s="6">
        <f>((0.05*(T21-10))+0.2)</f>
        <v>4.373</v>
      </c>
      <c r="T21" s="6">
        <v>93.46</v>
      </c>
      <c r="U21" s="6">
        <f>Q21+S21</f>
        <v>5.373</v>
      </c>
      <c r="V21" s="6">
        <f>L21-U21</f>
        <v>0.6269999999999998</v>
      </c>
      <c r="W21" s="6">
        <v>0.2</v>
      </c>
      <c r="X21" s="6">
        <v>1.2</v>
      </c>
      <c r="Y21" s="16">
        <v>4.8</v>
      </c>
      <c r="Z21" s="11" t="s">
        <v>225</v>
      </c>
    </row>
    <row r="22" spans="1:26" ht="12.75">
      <c r="A22" s="4">
        <v>3</v>
      </c>
      <c r="B22" s="4" t="s">
        <v>78</v>
      </c>
      <c r="C22" s="5" t="s">
        <v>23</v>
      </c>
      <c r="D22" s="5" t="s">
        <v>49</v>
      </c>
      <c r="E22" s="5" t="s">
        <v>51</v>
      </c>
      <c r="F22" s="5" t="s">
        <v>99</v>
      </c>
      <c r="G22" s="5">
        <v>128</v>
      </c>
      <c r="H22" s="5" t="s">
        <v>27</v>
      </c>
      <c r="I22" s="5">
        <v>6.2</v>
      </c>
      <c r="J22" s="5">
        <v>6.2</v>
      </c>
      <c r="K22" s="5">
        <v>0.32</v>
      </c>
      <c r="L22" s="6">
        <v>4.82</v>
      </c>
      <c r="M22" s="5"/>
      <c r="N22" s="5">
        <v>0.32</v>
      </c>
      <c r="O22" s="5">
        <v>0.32</v>
      </c>
      <c r="P22" s="5"/>
      <c r="Q22" s="6"/>
      <c r="R22" s="6"/>
      <c r="S22" s="6"/>
      <c r="T22" s="6">
        <v>136</v>
      </c>
      <c r="U22" s="6"/>
      <c r="V22" s="6">
        <f>L22</f>
        <v>4.82</v>
      </c>
      <c r="W22" s="6"/>
      <c r="X22" s="6"/>
      <c r="Y22" s="16">
        <v>4.82</v>
      </c>
      <c r="Z22" s="11" t="s">
        <v>225</v>
      </c>
    </row>
    <row r="23" spans="1:26" ht="72">
      <c r="A23" s="4">
        <v>3</v>
      </c>
      <c r="B23" s="4" t="s">
        <v>78</v>
      </c>
      <c r="C23" s="5" t="s">
        <v>23</v>
      </c>
      <c r="D23" s="5" t="s">
        <v>49</v>
      </c>
      <c r="E23" s="5" t="s">
        <v>51</v>
      </c>
      <c r="F23" s="5" t="s">
        <v>110</v>
      </c>
      <c r="G23" s="5">
        <v>128</v>
      </c>
      <c r="H23" s="5" t="s">
        <v>27</v>
      </c>
      <c r="I23" s="5">
        <v>2</v>
      </c>
      <c r="J23" s="5">
        <v>2</v>
      </c>
      <c r="K23" s="5">
        <v>15</v>
      </c>
      <c r="L23" s="6">
        <v>6</v>
      </c>
      <c r="M23" s="5"/>
      <c r="N23" s="5">
        <v>1</v>
      </c>
      <c r="O23" s="5">
        <v>1</v>
      </c>
      <c r="P23" s="5" t="s">
        <v>108</v>
      </c>
      <c r="Q23" s="6">
        <v>0.5</v>
      </c>
      <c r="R23" s="6" t="s">
        <v>109</v>
      </c>
      <c r="S23" s="6">
        <f>((0.05*(T23-10))+0.2)</f>
        <v>4.373</v>
      </c>
      <c r="T23" s="6">
        <v>93.46</v>
      </c>
      <c r="U23" s="6">
        <f aca="true" t="shared" si="1" ref="U23:U41">Q23+S23</f>
        <v>4.873</v>
      </c>
      <c r="V23" s="6">
        <f aca="true" t="shared" si="2" ref="V23:V41">L23-U23</f>
        <v>1.1269999999999998</v>
      </c>
      <c r="W23" s="6">
        <v>0.2</v>
      </c>
      <c r="X23" s="6">
        <v>0.7</v>
      </c>
      <c r="Y23" s="16">
        <v>5.3</v>
      </c>
      <c r="Z23" s="11" t="s">
        <v>225</v>
      </c>
    </row>
    <row r="24" spans="1:26" ht="72">
      <c r="A24" s="4">
        <v>3</v>
      </c>
      <c r="B24" s="4" t="s">
        <v>78</v>
      </c>
      <c r="C24" s="5" t="s">
        <v>23</v>
      </c>
      <c r="D24" s="5" t="s">
        <v>49</v>
      </c>
      <c r="E24" s="5" t="s">
        <v>51</v>
      </c>
      <c r="F24" s="5" t="s">
        <v>104</v>
      </c>
      <c r="G24" s="5">
        <v>320</v>
      </c>
      <c r="H24" s="5" t="s">
        <v>27</v>
      </c>
      <c r="I24" s="5">
        <v>2</v>
      </c>
      <c r="J24" s="5">
        <v>2</v>
      </c>
      <c r="K24" s="5">
        <v>38</v>
      </c>
      <c r="L24" s="6">
        <v>7.8</v>
      </c>
      <c r="M24" s="5"/>
      <c r="N24" s="5">
        <v>1</v>
      </c>
      <c r="O24" s="5">
        <v>1</v>
      </c>
      <c r="P24" s="5" t="s">
        <v>105</v>
      </c>
      <c r="Q24" s="6">
        <f>0.5+1.5</f>
        <v>2</v>
      </c>
      <c r="R24" s="6" t="s">
        <v>106</v>
      </c>
      <c r="S24" s="6">
        <f>(0.05*(T24-10))</f>
        <v>6.290000000000001</v>
      </c>
      <c r="T24" s="6">
        <v>135.8</v>
      </c>
      <c r="U24" s="6">
        <f t="shared" si="1"/>
        <v>8.290000000000001</v>
      </c>
      <c r="V24" s="6">
        <f t="shared" si="2"/>
        <v>-0.4900000000000011</v>
      </c>
      <c r="W24" s="6">
        <v>0</v>
      </c>
      <c r="X24" s="6">
        <v>2</v>
      </c>
      <c r="Y24" s="16">
        <v>5.8</v>
      </c>
      <c r="Z24" s="11" t="s">
        <v>225</v>
      </c>
    </row>
    <row r="25" spans="1:26" ht="84">
      <c r="A25" s="4">
        <v>3</v>
      </c>
      <c r="B25" s="4" t="s">
        <v>78</v>
      </c>
      <c r="C25" s="5" t="s">
        <v>23</v>
      </c>
      <c r="D25" s="5" t="s">
        <v>49</v>
      </c>
      <c r="E25" s="5" t="s">
        <v>51</v>
      </c>
      <c r="F25" s="5">
        <v>42</v>
      </c>
      <c r="G25" s="5">
        <v>256</v>
      </c>
      <c r="H25" s="5" t="s">
        <v>27</v>
      </c>
      <c r="I25" s="5">
        <v>24</v>
      </c>
      <c r="J25" s="5">
        <v>24</v>
      </c>
      <c r="K25" s="5">
        <v>57.8</v>
      </c>
      <c r="L25" s="6">
        <v>14</v>
      </c>
      <c r="M25" s="5"/>
      <c r="N25" s="5">
        <v>0.3</v>
      </c>
      <c r="O25" s="5">
        <v>0.3</v>
      </c>
      <c r="P25" s="5" t="s">
        <v>119</v>
      </c>
      <c r="Q25" s="6">
        <v>0.5</v>
      </c>
      <c r="R25" s="6" t="s">
        <v>120</v>
      </c>
      <c r="S25" s="6">
        <f>((G25/1000)+(0.05*(T25-10))+0.2)</f>
        <v>16.806</v>
      </c>
      <c r="T25" s="6">
        <v>337</v>
      </c>
      <c r="U25" s="6">
        <f t="shared" si="1"/>
        <v>17.306</v>
      </c>
      <c r="V25" s="6">
        <f t="shared" si="2"/>
        <v>-3.306000000000001</v>
      </c>
      <c r="W25" s="6">
        <v>0.456</v>
      </c>
      <c r="X25" s="6">
        <v>0.956</v>
      </c>
      <c r="Y25" s="16">
        <v>13.044</v>
      </c>
      <c r="Z25" s="11" t="s">
        <v>227</v>
      </c>
    </row>
    <row r="26" spans="1:26" ht="120">
      <c r="A26" s="4">
        <v>3</v>
      </c>
      <c r="B26" s="4" t="s">
        <v>78</v>
      </c>
      <c r="C26" s="5" t="s">
        <v>23</v>
      </c>
      <c r="D26" s="5" t="s">
        <v>49</v>
      </c>
      <c r="E26" s="5" t="s">
        <v>51</v>
      </c>
      <c r="F26" s="5">
        <v>42</v>
      </c>
      <c r="G26" s="5">
        <v>256</v>
      </c>
      <c r="H26" s="5" t="s">
        <v>27</v>
      </c>
      <c r="I26" s="5">
        <v>24</v>
      </c>
      <c r="J26" s="5">
        <v>24</v>
      </c>
      <c r="K26" s="5">
        <v>55.3</v>
      </c>
      <c r="L26" s="6">
        <v>14</v>
      </c>
      <c r="M26" s="5"/>
      <c r="N26" s="5">
        <v>0.3</v>
      </c>
      <c r="O26" s="5">
        <v>14</v>
      </c>
      <c r="P26" s="5"/>
      <c r="Q26" s="6"/>
      <c r="R26" s="6" t="s">
        <v>118</v>
      </c>
      <c r="S26" s="6">
        <f>((G26/1000)+(0.05*(T26-10))+0.2+0.2)</f>
        <v>17.006</v>
      </c>
      <c r="T26" s="6">
        <v>337</v>
      </c>
      <c r="U26" s="6">
        <f t="shared" si="1"/>
        <v>17.006</v>
      </c>
      <c r="V26" s="6">
        <f t="shared" si="2"/>
        <v>-3.0060000000000002</v>
      </c>
      <c r="W26" s="6">
        <v>0.656</v>
      </c>
      <c r="X26" s="6">
        <v>0.656</v>
      </c>
      <c r="Y26" s="16">
        <v>13.344</v>
      </c>
      <c r="Z26" s="11" t="s">
        <v>226</v>
      </c>
    </row>
    <row r="27" spans="1:26" ht="108">
      <c r="A27" s="4">
        <v>3</v>
      </c>
      <c r="B27" s="4" t="s">
        <v>78</v>
      </c>
      <c r="C27" s="5" t="s">
        <v>23</v>
      </c>
      <c r="D27" s="5" t="s">
        <v>49</v>
      </c>
      <c r="E27" s="5" t="s">
        <v>51</v>
      </c>
      <c r="F27" s="5">
        <v>42</v>
      </c>
      <c r="G27" s="5">
        <v>160</v>
      </c>
      <c r="H27" s="5" t="s">
        <v>27</v>
      </c>
      <c r="I27" s="5">
        <v>8</v>
      </c>
      <c r="J27" s="5">
        <v>8</v>
      </c>
      <c r="K27" s="5">
        <v>16.2</v>
      </c>
      <c r="L27" s="6">
        <v>16.2</v>
      </c>
      <c r="M27" s="5"/>
      <c r="N27" s="5">
        <v>1.5</v>
      </c>
      <c r="O27" s="5">
        <v>1.5</v>
      </c>
      <c r="P27" s="5" t="s">
        <v>119</v>
      </c>
      <c r="Q27" s="6">
        <v>0.5</v>
      </c>
      <c r="R27" s="6" t="s">
        <v>121</v>
      </c>
      <c r="S27" s="6">
        <f>((G27/1000)+(0.05*(T27-10))+0.2+0.2+0.2)</f>
        <v>6.760000000000001</v>
      </c>
      <c r="T27" s="6">
        <v>130</v>
      </c>
      <c r="U27" s="6">
        <f t="shared" si="1"/>
        <v>7.260000000000001</v>
      </c>
      <c r="V27" s="6">
        <f t="shared" si="2"/>
        <v>8.939999999999998</v>
      </c>
      <c r="W27" s="6">
        <v>0.76</v>
      </c>
      <c r="X27" s="6">
        <v>1.26</v>
      </c>
      <c r="Y27" s="16">
        <v>14.94</v>
      </c>
      <c r="Z27" s="11" t="s">
        <v>226</v>
      </c>
    </row>
    <row r="28" spans="1:26" ht="108">
      <c r="A28" s="4">
        <v>3</v>
      </c>
      <c r="B28" s="4" t="s">
        <v>78</v>
      </c>
      <c r="C28" s="5" t="s">
        <v>23</v>
      </c>
      <c r="D28" s="5" t="s">
        <v>49</v>
      </c>
      <c r="E28" s="5" t="s">
        <v>51</v>
      </c>
      <c r="F28" s="5">
        <v>42</v>
      </c>
      <c r="G28" s="5">
        <v>160</v>
      </c>
      <c r="H28" s="5" t="s">
        <v>27</v>
      </c>
      <c r="I28" s="5">
        <v>8</v>
      </c>
      <c r="J28" s="5">
        <v>8</v>
      </c>
      <c r="K28" s="5">
        <v>16.2</v>
      </c>
      <c r="L28" s="6">
        <v>16.2</v>
      </c>
      <c r="M28" s="5"/>
      <c r="N28" s="5">
        <v>1.5</v>
      </c>
      <c r="O28" s="5">
        <v>1.5</v>
      </c>
      <c r="P28" s="5" t="s">
        <v>119</v>
      </c>
      <c r="Q28" s="6">
        <v>0.5</v>
      </c>
      <c r="R28" s="6" t="s">
        <v>121</v>
      </c>
      <c r="S28" s="6">
        <f>((G28/1000)+(0.05*(T28-10))+0.2+0.2+0.2)</f>
        <v>6.760000000000001</v>
      </c>
      <c r="T28" s="6">
        <v>130</v>
      </c>
      <c r="U28" s="6">
        <f t="shared" si="1"/>
        <v>7.260000000000001</v>
      </c>
      <c r="V28" s="6">
        <f t="shared" si="2"/>
        <v>8.939999999999998</v>
      </c>
      <c r="W28" s="6">
        <v>0.76</v>
      </c>
      <c r="X28" s="6">
        <v>1.26</v>
      </c>
      <c r="Y28" s="16">
        <v>14.94</v>
      </c>
      <c r="Z28" s="11" t="s">
        <v>226</v>
      </c>
    </row>
    <row r="29" spans="1:26" ht="84">
      <c r="A29" s="4">
        <v>3</v>
      </c>
      <c r="B29" s="4" t="s">
        <v>78</v>
      </c>
      <c r="C29" s="5" t="s">
        <v>23</v>
      </c>
      <c r="D29" s="5" t="s">
        <v>49</v>
      </c>
      <c r="E29" s="5" t="s">
        <v>51</v>
      </c>
      <c r="F29" s="5">
        <v>42</v>
      </c>
      <c r="G29" s="5">
        <v>16</v>
      </c>
      <c r="H29" s="5" t="s">
        <v>27</v>
      </c>
      <c r="I29" s="5">
        <v>5</v>
      </c>
      <c r="J29" s="5">
        <v>5</v>
      </c>
      <c r="K29" s="5">
        <v>16</v>
      </c>
      <c r="L29" s="6">
        <v>16</v>
      </c>
      <c r="M29" s="5"/>
      <c r="N29" s="5">
        <v>1.5</v>
      </c>
      <c r="O29" s="5">
        <v>1.5</v>
      </c>
      <c r="P29" s="5" t="s">
        <v>60</v>
      </c>
      <c r="Q29" s="6">
        <v>0.3</v>
      </c>
      <c r="R29" s="6" t="s">
        <v>114</v>
      </c>
      <c r="S29" s="6">
        <f>((G29/1000)-0.5+(0.05*(T29-10))+0.2)</f>
        <v>5.716</v>
      </c>
      <c r="T29" s="6">
        <v>130</v>
      </c>
      <c r="U29" s="6">
        <f t="shared" si="1"/>
        <v>6.016</v>
      </c>
      <c r="V29" s="6">
        <f t="shared" si="2"/>
        <v>9.984</v>
      </c>
      <c r="W29" s="6">
        <v>-0.284</v>
      </c>
      <c r="X29" s="6">
        <v>0.016000000000000014</v>
      </c>
      <c r="Y29" s="16">
        <v>15.984</v>
      </c>
      <c r="Z29" s="11" t="s">
        <v>226</v>
      </c>
    </row>
    <row r="30" spans="1:26" ht="84">
      <c r="A30" s="4">
        <v>3</v>
      </c>
      <c r="B30" s="4" t="s">
        <v>78</v>
      </c>
      <c r="C30" s="5" t="s">
        <v>23</v>
      </c>
      <c r="D30" s="5" t="s">
        <v>49</v>
      </c>
      <c r="E30" s="5" t="s">
        <v>51</v>
      </c>
      <c r="F30" s="5">
        <v>42</v>
      </c>
      <c r="G30" s="5">
        <v>16</v>
      </c>
      <c r="H30" s="5" t="s">
        <v>27</v>
      </c>
      <c r="I30" s="5">
        <v>5</v>
      </c>
      <c r="J30" s="5">
        <v>5</v>
      </c>
      <c r="K30" s="5">
        <v>16</v>
      </c>
      <c r="L30" s="6">
        <v>16</v>
      </c>
      <c r="M30" s="5"/>
      <c r="N30" s="5">
        <v>1.5</v>
      </c>
      <c r="O30" s="5">
        <v>1.5</v>
      </c>
      <c r="P30" s="5" t="s">
        <v>60</v>
      </c>
      <c r="Q30" s="6">
        <v>0.3</v>
      </c>
      <c r="R30" s="6" t="s">
        <v>114</v>
      </c>
      <c r="S30" s="6">
        <f>((G30/1000)-0.5+(0.05*(T30-10))+0.2)</f>
        <v>5.716</v>
      </c>
      <c r="T30" s="6">
        <v>130</v>
      </c>
      <c r="U30" s="6">
        <f t="shared" si="1"/>
        <v>6.016</v>
      </c>
      <c r="V30" s="6">
        <f t="shared" si="2"/>
        <v>9.984</v>
      </c>
      <c r="W30" s="6">
        <v>-0.284</v>
      </c>
      <c r="X30" s="6">
        <v>0.016000000000000014</v>
      </c>
      <c r="Y30" s="16">
        <v>15.984</v>
      </c>
      <c r="Z30" s="11" t="s">
        <v>226</v>
      </c>
    </row>
    <row r="31" spans="1:26" ht="60">
      <c r="A31" s="4">
        <v>3</v>
      </c>
      <c r="B31" s="4" t="s">
        <v>78</v>
      </c>
      <c r="C31" s="5" t="s">
        <v>23</v>
      </c>
      <c r="D31" s="5" t="s">
        <v>49</v>
      </c>
      <c r="E31" s="5" t="s">
        <v>51</v>
      </c>
      <c r="F31" s="5">
        <v>24</v>
      </c>
      <c r="G31" s="5">
        <v>256</v>
      </c>
      <c r="H31" s="5" t="s">
        <v>27</v>
      </c>
      <c r="I31" s="5">
        <v>11</v>
      </c>
      <c r="J31" s="5">
        <v>11</v>
      </c>
      <c r="K31" s="5">
        <v>46.6</v>
      </c>
      <c r="L31" s="6">
        <v>19.1</v>
      </c>
      <c r="M31" s="5"/>
      <c r="N31" s="5">
        <v>0.06</v>
      </c>
      <c r="O31" s="5">
        <v>3.8</v>
      </c>
      <c r="P31" s="5" t="s">
        <v>115</v>
      </c>
      <c r="Q31" s="6">
        <v>1.5</v>
      </c>
      <c r="R31" s="6" t="s">
        <v>116</v>
      </c>
      <c r="S31" s="6">
        <f>((G31/1000)+(0.05*(T31-10))+0.2)</f>
        <v>16.556</v>
      </c>
      <c r="T31" s="6">
        <v>332</v>
      </c>
      <c r="U31" s="6">
        <f t="shared" si="1"/>
        <v>18.056</v>
      </c>
      <c r="V31" s="6">
        <f t="shared" si="2"/>
        <v>1.0440000000000005</v>
      </c>
      <c r="W31" s="6">
        <v>0.456</v>
      </c>
      <c r="X31" s="6">
        <v>1.956</v>
      </c>
      <c r="Y31" s="16">
        <v>17.144000000000002</v>
      </c>
      <c r="Z31" s="11" t="s">
        <v>226</v>
      </c>
    </row>
    <row r="32" spans="1:26" ht="72">
      <c r="A32" s="4">
        <v>3</v>
      </c>
      <c r="B32" s="4" t="s">
        <v>78</v>
      </c>
      <c r="C32" s="5" t="s">
        <v>23</v>
      </c>
      <c r="D32" s="5" t="s">
        <v>49</v>
      </c>
      <c r="E32" s="5" t="s">
        <v>51</v>
      </c>
      <c r="F32" s="5">
        <v>24</v>
      </c>
      <c r="G32" s="5">
        <v>64</v>
      </c>
      <c r="H32" s="5" t="s">
        <v>27</v>
      </c>
      <c r="I32" s="5">
        <v>11</v>
      </c>
      <c r="J32" s="5">
        <v>11</v>
      </c>
      <c r="K32" s="5">
        <v>18</v>
      </c>
      <c r="L32" s="6">
        <v>18</v>
      </c>
      <c r="M32" s="5"/>
      <c r="N32" s="5">
        <v>12</v>
      </c>
      <c r="O32" s="5">
        <v>12</v>
      </c>
      <c r="P32" s="5" t="s">
        <v>60</v>
      </c>
      <c r="Q32" s="6">
        <v>0.3</v>
      </c>
      <c r="R32" s="6" t="s">
        <v>117</v>
      </c>
      <c r="S32" s="6">
        <f>((G32/1000)+(0.05*(T32-10))+0.2)</f>
        <v>6.264</v>
      </c>
      <c r="T32" s="6">
        <v>130</v>
      </c>
      <c r="U32" s="6">
        <f t="shared" si="1"/>
        <v>6.564</v>
      </c>
      <c r="V32" s="6">
        <f t="shared" si="2"/>
        <v>11.436</v>
      </c>
      <c r="W32" s="6">
        <v>0.264</v>
      </c>
      <c r="X32" s="6">
        <v>0.5640000000000001</v>
      </c>
      <c r="Y32" s="16">
        <v>17.436</v>
      </c>
      <c r="Z32" s="11" t="s">
        <v>226</v>
      </c>
    </row>
    <row r="33" spans="1:26" ht="72">
      <c r="A33" s="4">
        <v>3</v>
      </c>
      <c r="B33" s="4" t="s">
        <v>78</v>
      </c>
      <c r="C33" s="5" t="s">
        <v>23</v>
      </c>
      <c r="D33" s="5" t="s">
        <v>49</v>
      </c>
      <c r="E33" s="5" t="s">
        <v>51</v>
      </c>
      <c r="F33" s="5">
        <v>24</v>
      </c>
      <c r="G33" s="5">
        <v>64</v>
      </c>
      <c r="H33" s="5" t="s">
        <v>27</v>
      </c>
      <c r="I33" s="5">
        <v>11</v>
      </c>
      <c r="J33" s="5">
        <v>11</v>
      </c>
      <c r="K33" s="5">
        <v>18</v>
      </c>
      <c r="L33" s="6">
        <v>18</v>
      </c>
      <c r="M33" s="5"/>
      <c r="N33" s="5">
        <v>12</v>
      </c>
      <c r="O33" s="5">
        <v>12</v>
      </c>
      <c r="P33" s="5" t="s">
        <v>60</v>
      </c>
      <c r="Q33" s="6">
        <v>0.3</v>
      </c>
      <c r="R33" s="6" t="s">
        <v>117</v>
      </c>
      <c r="S33" s="6">
        <f>((G33/1000)+(0.05*(T33-10))+0.2)</f>
        <v>6.264</v>
      </c>
      <c r="T33" s="6">
        <v>130</v>
      </c>
      <c r="U33" s="6">
        <f t="shared" si="1"/>
        <v>6.564</v>
      </c>
      <c r="V33" s="6">
        <f t="shared" si="2"/>
        <v>11.436</v>
      </c>
      <c r="W33" s="6">
        <v>0.264</v>
      </c>
      <c r="X33" s="6">
        <v>0.5640000000000001</v>
      </c>
      <c r="Y33" s="16">
        <v>17.436</v>
      </c>
      <c r="Z33" s="11" t="s">
        <v>226</v>
      </c>
    </row>
    <row r="34" spans="1:26" ht="72">
      <c r="A34" s="4">
        <v>3</v>
      </c>
      <c r="B34" s="4" t="s">
        <v>78</v>
      </c>
      <c r="C34" s="5" t="s">
        <v>23</v>
      </c>
      <c r="D34" s="5" t="s">
        <v>49</v>
      </c>
      <c r="E34" s="5" t="s">
        <v>51</v>
      </c>
      <c r="F34" s="5">
        <v>24</v>
      </c>
      <c r="G34" s="5">
        <v>64</v>
      </c>
      <c r="H34" s="5" t="s">
        <v>27</v>
      </c>
      <c r="I34" s="5">
        <v>11</v>
      </c>
      <c r="J34" s="5">
        <v>11</v>
      </c>
      <c r="K34" s="5">
        <v>18</v>
      </c>
      <c r="L34" s="6">
        <v>18</v>
      </c>
      <c r="M34" s="5"/>
      <c r="N34" s="5">
        <v>12</v>
      </c>
      <c r="O34" s="5">
        <v>12</v>
      </c>
      <c r="P34" s="5" t="s">
        <v>60</v>
      </c>
      <c r="Q34" s="6">
        <v>0.3</v>
      </c>
      <c r="R34" s="6" t="s">
        <v>117</v>
      </c>
      <c r="S34" s="6">
        <f>((G34/1000)+(0.05*(T34-10))+0.2)</f>
        <v>6.264</v>
      </c>
      <c r="T34" s="6">
        <v>130</v>
      </c>
      <c r="U34" s="6">
        <f t="shared" si="1"/>
        <v>6.564</v>
      </c>
      <c r="V34" s="6">
        <f t="shared" si="2"/>
        <v>11.436</v>
      </c>
      <c r="W34" s="6">
        <v>0.264</v>
      </c>
      <c r="X34" s="6">
        <v>0.5640000000000001</v>
      </c>
      <c r="Y34" s="16">
        <v>17.436</v>
      </c>
      <c r="Z34" s="11" t="s">
        <v>226</v>
      </c>
    </row>
    <row r="35" spans="1:26" ht="84">
      <c r="A35" s="4">
        <v>3</v>
      </c>
      <c r="B35" s="4" t="s">
        <v>78</v>
      </c>
      <c r="C35" s="5" t="s">
        <v>23</v>
      </c>
      <c r="D35" s="5" t="s">
        <v>49</v>
      </c>
      <c r="E35" s="5" t="s">
        <v>51</v>
      </c>
      <c r="F35" s="5" t="s">
        <v>113</v>
      </c>
      <c r="G35" s="5">
        <v>64</v>
      </c>
      <c r="H35" s="5" t="s">
        <v>27</v>
      </c>
      <c r="I35" s="5">
        <v>11</v>
      </c>
      <c r="J35" s="5">
        <v>11</v>
      </c>
      <c r="K35" s="5">
        <v>17.8</v>
      </c>
      <c r="L35" s="6">
        <v>17.8</v>
      </c>
      <c r="M35" s="5"/>
      <c r="N35" s="5">
        <v>14</v>
      </c>
      <c r="O35" s="5">
        <v>14</v>
      </c>
      <c r="P35" s="5" t="s">
        <v>60</v>
      </c>
      <c r="Q35" s="6">
        <v>0.3</v>
      </c>
      <c r="R35" s="6" t="s">
        <v>114</v>
      </c>
      <c r="S35" s="6">
        <f>((G35/1000)-0.5+(0.05*(T35-10))+0.2)</f>
        <v>5.764</v>
      </c>
      <c r="T35" s="6">
        <v>130</v>
      </c>
      <c r="U35" s="6">
        <f t="shared" si="1"/>
        <v>6.064</v>
      </c>
      <c r="V35" s="6">
        <f t="shared" si="2"/>
        <v>11.736</v>
      </c>
      <c r="W35" s="6">
        <v>-0.236</v>
      </c>
      <c r="X35" s="6">
        <v>0.064</v>
      </c>
      <c r="Y35" s="16">
        <v>17.736</v>
      </c>
      <c r="Z35" s="11" t="s">
        <v>226</v>
      </c>
    </row>
    <row r="36" spans="1:26" ht="84">
      <c r="A36" s="4">
        <v>3</v>
      </c>
      <c r="B36" s="4" t="s">
        <v>78</v>
      </c>
      <c r="C36" s="5" t="s">
        <v>23</v>
      </c>
      <c r="D36" s="5" t="s">
        <v>49</v>
      </c>
      <c r="E36" s="5" t="s">
        <v>51</v>
      </c>
      <c r="F36" s="5" t="s">
        <v>113</v>
      </c>
      <c r="G36" s="5">
        <v>64</v>
      </c>
      <c r="H36" s="5" t="s">
        <v>27</v>
      </c>
      <c r="I36" s="5">
        <v>11</v>
      </c>
      <c r="J36" s="5">
        <v>11</v>
      </c>
      <c r="K36" s="5">
        <v>17.8</v>
      </c>
      <c r="L36" s="6">
        <v>17.8</v>
      </c>
      <c r="M36" s="5"/>
      <c r="N36" s="5">
        <v>14</v>
      </c>
      <c r="O36" s="5">
        <v>14</v>
      </c>
      <c r="P36" s="5" t="s">
        <v>60</v>
      </c>
      <c r="Q36" s="6">
        <v>0.3</v>
      </c>
      <c r="R36" s="6" t="s">
        <v>114</v>
      </c>
      <c r="S36" s="6">
        <f>((G36/1000)-0.5+(0.05*(T36-10))+0.2)</f>
        <v>5.764</v>
      </c>
      <c r="T36" s="6">
        <v>130</v>
      </c>
      <c r="U36" s="6">
        <f t="shared" si="1"/>
        <v>6.064</v>
      </c>
      <c r="V36" s="6">
        <f t="shared" si="2"/>
        <v>11.736</v>
      </c>
      <c r="W36" s="6">
        <v>-0.236</v>
      </c>
      <c r="X36" s="6">
        <v>0.064</v>
      </c>
      <c r="Y36" s="16">
        <v>17.736</v>
      </c>
      <c r="Z36" s="11" t="s">
        <v>226</v>
      </c>
    </row>
    <row r="37" spans="1:26" ht="36">
      <c r="A37" s="4">
        <v>3</v>
      </c>
      <c r="B37" s="4" t="s">
        <v>78</v>
      </c>
      <c r="C37" s="5" t="s">
        <v>23</v>
      </c>
      <c r="D37" s="5" t="s">
        <v>49</v>
      </c>
      <c r="E37" s="5" t="s">
        <v>51</v>
      </c>
      <c r="F37" s="5">
        <v>24</v>
      </c>
      <c r="G37" s="5">
        <v>128</v>
      </c>
      <c r="H37" s="5" t="s">
        <v>27</v>
      </c>
      <c r="I37" s="5">
        <v>11</v>
      </c>
      <c r="J37" s="5">
        <v>11</v>
      </c>
      <c r="K37" s="5">
        <v>46.6</v>
      </c>
      <c r="L37" s="6">
        <v>19.1</v>
      </c>
      <c r="M37" s="5"/>
      <c r="N37" s="5">
        <v>0.06</v>
      </c>
      <c r="O37" s="5">
        <v>3.8</v>
      </c>
      <c r="P37" s="5" t="s">
        <v>58</v>
      </c>
      <c r="Q37" s="6">
        <f>0.5</f>
        <v>0.5</v>
      </c>
      <c r="R37" s="6" t="s">
        <v>85</v>
      </c>
      <c r="S37" s="6">
        <f>((G37/1000)+(0.05*(T37-10)))</f>
        <v>16.228</v>
      </c>
      <c r="T37" s="6">
        <v>332</v>
      </c>
      <c r="U37" s="6">
        <f t="shared" si="1"/>
        <v>16.728</v>
      </c>
      <c r="V37" s="6">
        <f t="shared" si="2"/>
        <v>2.372</v>
      </c>
      <c r="W37" s="6">
        <v>0.128</v>
      </c>
      <c r="X37" s="6">
        <v>0.628</v>
      </c>
      <c r="Y37" s="16">
        <v>18.472</v>
      </c>
      <c r="Z37" s="11" t="s">
        <v>226</v>
      </c>
    </row>
    <row r="38" spans="1:26" ht="60">
      <c r="A38" s="4">
        <v>3</v>
      </c>
      <c r="B38" s="4" t="s">
        <v>78</v>
      </c>
      <c r="C38" s="5" t="s">
        <v>23</v>
      </c>
      <c r="D38" s="5" t="s">
        <v>49</v>
      </c>
      <c r="E38" s="5" t="s">
        <v>51</v>
      </c>
      <c r="F38" s="5">
        <v>24</v>
      </c>
      <c r="G38" s="5">
        <v>128</v>
      </c>
      <c r="H38" s="5" t="s">
        <v>27</v>
      </c>
      <c r="I38" s="5">
        <v>4</v>
      </c>
      <c r="J38" s="5">
        <v>4</v>
      </c>
      <c r="K38" s="5">
        <v>46.6</v>
      </c>
      <c r="L38" s="6">
        <v>19.7</v>
      </c>
      <c r="M38" s="5"/>
      <c r="N38" s="5">
        <v>0.1</v>
      </c>
      <c r="O38" s="5">
        <v>19.7</v>
      </c>
      <c r="P38" s="5" t="s">
        <v>119</v>
      </c>
      <c r="Q38" s="6">
        <v>0.5</v>
      </c>
      <c r="R38" s="6" t="s">
        <v>116</v>
      </c>
      <c r="S38" s="6">
        <f>((G38/1000)+(0.05*(T38-10))+0.2)</f>
        <v>19.128</v>
      </c>
      <c r="T38" s="6">
        <v>386</v>
      </c>
      <c r="U38" s="6">
        <f t="shared" si="1"/>
        <v>19.628</v>
      </c>
      <c r="V38" s="6">
        <f t="shared" si="2"/>
        <v>0.07199999999999918</v>
      </c>
      <c r="W38" s="6">
        <v>0.328</v>
      </c>
      <c r="X38" s="6">
        <v>0.8280000000000001</v>
      </c>
      <c r="Y38" s="16">
        <v>18.872</v>
      </c>
      <c r="Z38" s="11" t="s">
        <v>226</v>
      </c>
    </row>
    <row r="39" spans="1:26" ht="60">
      <c r="A39" s="4">
        <v>3</v>
      </c>
      <c r="B39" s="4" t="s">
        <v>78</v>
      </c>
      <c r="C39" s="5" t="s">
        <v>23</v>
      </c>
      <c r="D39" s="5" t="s">
        <v>49</v>
      </c>
      <c r="E39" s="5" t="s">
        <v>51</v>
      </c>
      <c r="F39" s="5">
        <v>24</v>
      </c>
      <c r="G39" s="5">
        <v>128</v>
      </c>
      <c r="H39" s="5" t="s">
        <v>27</v>
      </c>
      <c r="I39" s="5">
        <v>4</v>
      </c>
      <c r="J39" s="5">
        <v>4</v>
      </c>
      <c r="K39" s="5">
        <v>46.6</v>
      </c>
      <c r="L39" s="6">
        <v>19.7</v>
      </c>
      <c r="M39" s="5"/>
      <c r="N39" s="5">
        <v>0.1</v>
      </c>
      <c r="O39" s="5">
        <v>19.7</v>
      </c>
      <c r="P39" s="5" t="s">
        <v>119</v>
      </c>
      <c r="Q39" s="6">
        <v>0.5</v>
      </c>
      <c r="R39" s="6" t="s">
        <v>116</v>
      </c>
      <c r="S39" s="6">
        <f>((G39/1000)+(0.05*(T39-10))+0.2)</f>
        <v>19.128</v>
      </c>
      <c r="T39" s="6">
        <v>386</v>
      </c>
      <c r="U39" s="6">
        <f t="shared" si="1"/>
        <v>19.628</v>
      </c>
      <c r="V39" s="6">
        <f t="shared" si="2"/>
        <v>0.07199999999999918</v>
      </c>
      <c r="W39" s="6">
        <v>0.328</v>
      </c>
      <c r="X39" s="6">
        <v>0.8280000000000001</v>
      </c>
      <c r="Y39" s="16">
        <v>18.872</v>
      </c>
      <c r="Z39" s="11" t="s">
        <v>226</v>
      </c>
    </row>
    <row r="40" spans="1:26" ht="60">
      <c r="A40" s="4">
        <v>3</v>
      </c>
      <c r="B40" s="4" t="s">
        <v>78</v>
      </c>
      <c r="C40" s="5" t="s">
        <v>23</v>
      </c>
      <c r="D40" s="5" t="s">
        <v>49</v>
      </c>
      <c r="E40" s="5" t="s">
        <v>51</v>
      </c>
      <c r="F40" s="5">
        <v>60</v>
      </c>
      <c r="G40" s="5">
        <v>512</v>
      </c>
      <c r="H40" s="5" t="s">
        <v>27</v>
      </c>
      <c r="I40" s="5">
        <v>28</v>
      </c>
      <c r="J40" s="5">
        <v>28</v>
      </c>
      <c r="K40" s="5">
        <v>115</v>
      </c>
      <c r="L40" s="6">
        <v>27.3</v>
      </c>
      <c r="M40" s="5"/>
      <c r="N40" s="5">
        <v>0.11</v>
      </c>
      <c r="O40" s="5">
        <v>4.2</v>
      </c>
      <c r="P40" s="5" t="s">
        <v>115</v>
      </c>
      <c r="Q40" s="6">
        <v>1.5</v>
      </c>
      <c r="R40" s="6" t="s">
        <v>116</v>
      </c>
      <c r="S40" s="6">
        <f>((G40/1000)+(0.05*(T40-10))+0.2)</f>
        <v>17.062</v>
      </c>
      <c r="T40" s="6">
        <v>337</v>
      </c>
      <c r="U40" s="6">
        <f t="shared" si="1"/>
        <v>18.562</v>
      </c>
      <c r="V40" s="6">
        <f t="shared" si="2"/>
        <v>8.738</v>
      </c>
      <c r="W40" s="6">
        <v>0.712</v>
      </c>
      <c r="X40" s="6">
        <v>2.2119999999999997</v>
      </c>
      <c r="Y40" s="16">
        <v>25.088</v>
      </c>
      <c r="Z40" s="11" t="s">
        <v>226</v>
      </c>
    </row>
    <row r="41" spans="1:26" ht="60">
      <c r="A41" s="4">
        <v>3</v>
      </c>
      <c r="B41" s="4" t="s">
        <v>78</v>
      </c>
      <c r="C41" s="5" t="s">
        <v>23</v>
      </c>
      <c r="D41" s="5" t="s">
        <v>49</v>
      </c>
      <c r="E41" s="5" t="s">
        <v>51</v>
      </c>
      <c r="F41" s="5">
        <v>60</v>
      </c>
      <c r="G41" s="5">
        <v>512</v>
      </c>
      <c r="H41" s="5" t="s">
        <v>27</v>
      </c>
      <c r="I41" s="5">
        <v>28</v>
      </c>
      <c r="J41" s="5">
        <v>28</v>
      </c>
      <c r="K41" s="5">
        <v>115</v>
      </c>
      <c r="L41" s="6">
        <v>27.3</v>
      </c>
      <c r="M41" s="5"/>
      <c r="N41" s="5">
        <v>0.11</v>
      </c>
      <c r="O41" s="5">
        <v>4.2</v>
      </c>
      <c r="P41" s="5" t="s">
        <v>115</v>
      </c>
      <c r="Q41" s="6">
        <v>1.5</v>
      </c>
      <c r="R41" s="6" t="s">
        <v>116</v>
      </c>
      <c r="S41" s="6">
        <f>((G41/1000)+(0.05*(T41-10))+0.2)</f>
        <v>17.062</v>
      </c>
      <c r="T41" s="6">
        <v>337</v>
      </c>
      <c r="U41" s="6">
        <f t="shared" si="1"/>
        <v>18.562</v>
      </c>
      <c r="V41" s="6">
        <f t="shared" si="2"/>
        <v>8.738</v>
      </c>
      <c r="W41" s="6">
        <v>0.712</v>
      </c>
      <c r="X41" s="6">
        <v>2.2119999999999997</v>
      </c>
      <c r="Y41" s="16">
        <v>25.088</v>
      </c>
      <c r="Z41" s="11" t="s">
        <v>226</v>
      </c>
    </row>
  </sheetData>
  <mergeCells count="1">
    <mergeCell ref="W1:Y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Z8"/>
  <sheetViews>
    <sheetView showZeros="0" zoomScale="70" zoomScaleNormal="70" workbookViewId="0" topLeftCell="A1">
      <pane xSplit="1" ySplit="2" topLeftCell="Q3" activePane="bottomRight" state="frozen"/>
      <selection pane="topLeft"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ColWidth="9.140625" defaultRowHeight="12.75"/>
  <cols>
    <col min="1" max="1" width="10.140625" style="0" customWidth="1"/>
    <col min="2" max="25" width="15.7109375" style="0" customWidth="1"/>
    <col min="26" max="26" width="15.7109375" style="9" customWidth="1"/>
  </cols>
  <sheetData>
    <row r="1" spans="1:2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5" t="s">
        <v>224</v>
      </c>
      <c r="X1" s="15"/>
      <c r="Y1" s="15"/>
      <c r="Z1" s="7"/>
    </row>
    <row r="2" spans="1:26" s="3" customFormat="1" ht="63.7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12" t="s">
        <v>18</v>
      </c>
      <c r="X2" s="12" t="s">
        <v>20</v>
      </c>
      <c r="Y2" s="12" t="s">
        <v>21</v>
      </c>
      <c r="Z2" s="10" t="s">
        <v>223</v>
      </c>
    </row>
    <row r="3" spans="1:26" ht="132">
      <c r="A3" s="4">
        <v>4</v>
      </c>
      <c r="B3" s="4" t="s">
        <v>123</v>
      </c>
      <c r="C3" s="5" t="s">
        <v>124</v>
      </c>
      <c r="D3" s="5" t="s">
        <v>49</v>
      </c>
      <c r="E3" s="5" t="s">
        <v>25</v>
      </c>
      <c r="F3" s="5" t="s">
        <v>125</v>
      </c>
      <c r="G3" s="5">
        <v>16</v>
      </c>
      <c r="H3" s="5" t="s">
        <v>27</v>
      </c>
      <c r="I3" s="5">
        <v>120</v>
      </c>
      <c r="J3" s="5"/>
      <c r="K3" s="5">
        <v>9.8</v>
      </c>
      <c r="L3" s="6">
        <v>8.057</v>
      </c>
      <c r="M3" s="5"/>
      <c r="N3" s="5"/>
      <c r="O3" s="5"/>
      <c r="P3" s="5" t="s">
        <v>126</v>
      </c>
      <c r="Q3" s="6">
        <v>0.3</v>
      </c>
      <c r="R3" s="6" t="s">
        <v>127</v>
      </c>
      <c r="S3" s="6">
        <f>((0.05*(T3-10))+0.2+0.2+0.2+0.2)</f>
        <v>6.855</v>
      </c>
      <c r="T3" s="6">
        <v>131.1</v>
      </c>
      <c r="U3" s="6">
        <f aca="true" t="shared" si="0" ref="U3:U8">Q3+S3</f>
        <v>7.155</v>
      </c>
      <c r="V3" s="6">
        <f aca="true" t="shared" si="1" ref="V3:V8">L3-U3</f>
        <v>0.9020000000000001</v>
      </c>
      <c r="W3" s="6">
        <v>0.8</v>
      </c>
      <c r="X3" s="6">
        <v>1.1</v>
      </c>
      <c r="Y3" s="6">
        <v>6.957000000000001</v>
      </c>
      <c r="Z3" s="11" t="s">
        <v>225</v>
      </c>
    </row>
    <row r="4" spans="1:26" ht="132">
      <c r="A4" s="4">
        <v>4</v>
      </c>
      <c r="B4" s="4" t="s">
        <v>123</v>
      </c>
      <c r="C4" s="5" t="s">
        <v>124</v>
      </c>
      <c r="D4" s="5" t="s">
        <v>49</v>
      </c>
      <c r="E4" s="5" t="s">
        <v>25</v>
      </c>
      <c r="F4" s="5" t="s">
        <v>128</v>
      </c>
      <c r="G4" s="5">
        <v>16</v>
      </c>
      <c r="H4" s="5" t="s">
        <v>27</v>
      </c>
      <c r="I4" s="5">
        <v>95</v>
      </c>
      <c r="J4" s="5"/>
      <c r="K4" s="5">
        <v>9.8</v>
      </c>
      <c r="L4" s="6">
        <v>8.057</v>
      </c>
      <c r="M4" s="5"/>
      <c r="N4" s="5"/>
      <c r="O4" s="5"/>
      <c r="P4" s="5" t="s">
        <v>126</v>
      </c>
      <c r="Q4" s="6">
        <v>0.3</v>
      </c>
      <c r="R4" s="6" t="s">
        <v>127</v>
      </c>
      <c r="S4" s="6">
        <f>((0.05*(T4-10))+0.2+0.2+0.2+0.2)</f>
        <v>6.855</v>
      </c>
      <c r="T4" s="6">
        <v>131.1</v>
      </c>
      <c r="U4" s="6">
        <f t="shared" si="0"/>
        <v>7.155</v>
      </c>
      <c r="V4" s="6">
        <f t="shared" si="1"/>
        <v>0.9020000000000001</v>
      </c>
      <c r="W4" s="6">
        <v>0.8</v>
      </c>
      <c r="X4" s="6">
        <v>1.1</v>
      </c>
      <c r="Y4" s="6">
        <v>6.957000000000001</v>
      </c>
      <c r="Z4" s="11" t="s">
        <v>225</v>
      </c>
    </row>
    <row r="5" spans="1:26" ht="132">
      <c r="A5" s="4">
        <v>4</v>
      </c>
      <c r="B5" s="4" t="s">
        <v>123</v>
      </c>
      <c r="C5" s="5" t="s">
        <v>124</v>
      </c>
      <c r="D5" s="5" t="s">
        <v>49</v>
      </c>
      <c r="E5" s="5" t="s">
        <v>25</v>
      </c>
      <c r="F5" s="5" t="s">
        <v>125</v>
      </c>
      <c r="G5" s="5">
        <v>16</v>
      </c>
      <c r="H5" s="5" t="s">
        <v>27</v>
      </c>
      <c r="I5" s="5">
        <v>65</v>
      </c>
      <c r="J5" s="5"/>
      <c r="K5" s="5">
        <v>8.711</v>
      </c>
      <c r="L5" s="6">
        <v>6.401</v>
      </c>
      <c r="M5" s="5"/>
      <c r="N5" s="5"/>
      <c r="O5" s="5"/>
      <c r="P5" s="5" t="s">
        <v>126</v>
      </c>
      <c r="Q5" s="6">
        <v>0.3</v>
      </c>
      <c r="R5" s="6" t="s">
        <v>127</v>
      </c>
      <c r="S5" s="6">
        <f>((0.05*(T5-10))+0.2+0.2+0.2+0.2)</f>
        <v>4.3100000000000005</v>
      </c>
      <c r="T5" s="6">
        <v>80.2</v>
      </c>
      <c r="U5" s="6">
        <f t="shared" si="0"/>
        <v>4.61</v>
      </c>
      <c r="V5" s="6">
        <f t="shared" si="1"/>
        <v>1.7909999999999995</v>
      </c>
      <c r="W5" s="6">
        <v>0.8</v>
      </c>
      <c r="X5" s="6">
        <v>1.1</v>
      </c>
      <c r="Y5" s="6">
        <v>5.301</v>
      </c>
      <c r="Z5" s="11" t="s">
        <v>225</v>
      </c>
    </row>
    <row r="6" spans="1:26" ht="60">
      <c r="A6" s="4">
        <v>4</v>
      </c>
      <c r="B6" s="4" t="s">
        <v>123</v>
      </c>
      <c r="C6" s="5" t="s">
        <v>124</v>
      </c>
      <c r="D6" s="5" t="s">
        <v>49</v>
      </c>
      <c r="E6" s="5" t="s">
        <v>25</v>
      </c>
      <c r="F6" s="5" t="s">
        <v>125</v>
      </c>
      <c r="G6" s="5">
        <v>16</v>
      </c>
      <c r="H6" s="5" t="s">
        <v>27</v>
      </c>
      <c r="I6" s="5">
        <v>40</v>
      </c>
      <c r="J6" s="5"/>
      <c r="K6" s="5">
        <v>6.53</v>
      </c>
      <c r="L6" s="6">
        <v>5.91</v>
      </c>
      <c r="M6" s="5"/>
      <c r="N6" s="5"/>
      <c r="O6" s="5"/>
      <c r="P6" s="5" t="s">
        <v>126</v>
      </c>
      <c r="Q6" s="6">
        <v>0.3</v>
      </c>
      <c r="R6" s="6" t="s">
        <v>129</v>
      </c>
      <c r="S6" s="6">
        <f>((0.05*(T6-10))+0.2+0.2)</f>
        <v>3.6850000000000005</v>
      </c>
      <c r="T6" s="6">
        <v>75.7</v>
      </c>
      <c r="U6" s="6">
        <f t="shared" si="0"/>
        <v>3.9850000000000003</v>
      </c>
      <c r="V6" s="6">
        <f t="shared" si="1"/>
        <v>1.9249999999999998</v>
      </c>
      <c r="W6" s="6">
        <v>0.4</v>
      </c>
      <c r="X6" s="6">
        <v>0.7</v>
      </c>
      <c r="Y6" s="6">
        <v>5.21</v>
      </c>
      <c r="Z6" s="11" t="s">
        <v>225</v>
      </c>
    </row>
    <row r="7" spans="1:26" ht="60">
      <c r="A7" s="4">
        <v>4</v>
      </c>
      <c r="B7" s="4" t="s">
        <v>123</v>
      </c>
      <c r="C7" s="5" t="s">
        <v>124</v>
      </c>
      <c r="D7" s="5" t="s">
        <v>49</v>
      </c>
      <c r="E7" s="5" t="s">
        <v>25</v>
      </c>
      <c r="F7" s="5" t="s">
        <v>125</v>
      </c>
      <c r="G7" s="5">
        <v>16</v>
      </c>
      <c r="H7" s="5" t="s">
        <v>27</v>
      </c>
      <c r="I7" s="5">
        <v>30</v>
      </c>
      <c r="J7" s="5"/>
      <c r="K7" s="5">
        <v>6.53</v>
      </c>
      <c r="L7" s="6">
        <v>5.91</v>
      </c>
      <c r="M7" s="5"/>
      <c r="N7" s="5"/>
      <c r="O7" s="5"/>
      <c r="P7" s="5" t="s">
        <v>126</v>
      </c>
      <c r="Q7" s="6">
        <v>0.3</v>
      </c>
      <c r="R7" s="6" t="s">
        <v>130</v>
      </c>
      <c r="S7" s="6">
        <f>((0.05*(T7-10))+0.2+0.2)</f>
        <v>3.6850000000000005</v>
      </c>
      <c r="T7" s="6">
        <v>75.7</v>
      </c>
      <c r="U7" s="6">
        <f t="shared" si="0"/>
        <v>3.9850000000000003</v>
      </c>
      <c r="V7" s="6">
        <f t="shared" si="1"/>
        <v>1.9249999999999998</v>
      </c>
      <c r="W7" s="6">
        <v>0.4</v>
      </c>
      <c r="X7" s="6">
        <v>0.7</v>
      </c>
      <c r="Y7" s="6">
        <v>5.21</v>
      </c>
      <c r="Z7" s="11" t="s">
        <v>225</v>
      </c>
    </row>
    <row r="8" spans="1:26" ht="72">
      <c r="A8" s="4">
        <v>4</v>
      </c>
      <c r="B8" s="4" t="s">
        <v>123</v>
      </c>
      <c r="C8" s="5" t="s">
        <v>124</v>
      </c>
      <c r="D8" s="5" t="s">
        <v>49</v>
      </c>
      <c r="E8" s="5" t="s">
        <v>25</v>
      </c>
      <c r="F8" s="5" t="s">
        <v>131</v>
      </c>
      <c r="G8" s="5">
        <v>16</v>
      </c>
      <c r="H8" s="5" t="s">
        <v>27</v>
      </c>
      <c r="I8" s="5">
        <v>18</v>
      </c>
      <c r="J8" s="5"/>
      <c r="K8" s="5">
        <v>5</v>
      </c>
      <c r="L8" s="6">
        <v>4.997</v>
      </c>
      <c r="M8" s="5"/>
      <c r="N8" s="5"/>
      <c r="O8" s="5"/>
      <c r="P8" s="5" t="s">
        <v>126</v>
      </c>
      <c r="Q8" s="6">
        <v>0.3</v>
      </c>
      <c r="R8" s="6" t="s">
        <v>132</v>
      </c>
      <c r="S8" s="6">
        <f>((0.05*(T8-10))+0.2+0.2)</f>
        <v>1.9300000000000002</v>
      </c>
      <c r="T8" s="6">
        <v>40.6</v>
      </c>
      <c r="U8" s="6">
        <f t="shared" si="0"/>
        <v>2.23</v>
      </c>
      <c r="V8" s="6">
        <f t="shared" si="1"/>
        <v>2.767</v>
      </c>
      <c r="W8" s="6">
        <v>0.4</v>
      </c>
      <c r="X8" s="6">
        <v>0.7</v>
      </c>
      <c r="Y8" s="6">
        <v>4.297</v>
      </c>
      <c r="Z8" s="11" t="s">
        <v>225</v>
      </c>
    </row>
  </sheetData>
  <mergeCells count="1">
    <mergeCell ref="W1:Y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Z53"/>
  <sheetViews>
    <sheetView showZeros="0" zoomScale="70" zoomScaleNormal="70" workbookViewId="0" topLeftCell="A1">
      <pane xSplit="2" ySplit="2" topLeftCell="Q3" activePane="bottomRight" state="frozen"/>
      <selection pane="topLeft"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ColWidth="9.140625" defaultRowHeight="12.75"/>
  <cols>
    <col min="1" max="1" width="10.140625" style="0" customWidth="1"/>
    <col min="2" max="25" width="15.7109375" style="0" customWidth="1"/>
    <col min="26" max="26" width="15.7109375" style="9" customWidth="1"/>
  </cols>
  <sheetData>
    <row r="1" spans="1:2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5" t="s">
        <v>224</v>
      </c>
      <c r="X1" s="15"/>
      <c r="Y1" s="15"/>
      <c r="Z1" s="7"/>
    </row>
    <row r="2" spans="1:26" s="3" customFormat="1" ht="63.7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12" t="s">
        <v>18</v>
      </c>
      <c r="X2" s="12" t="s">
        <v>20</v>
      </c>
      <c r="Y2" s="12" t="s">
        <v>21</v>
      </c>
      <c r="Z2" s="10" t="s">
        <v>223</v>
      </c>
    </row>
    <row r="3" spans="1:26" ht="12.75">
      <c r="A3" s="4">
        <v>5</v>
      </c>
      <c r="B3" s="4" t="s">
        <v>78</v>
      </c>
      <c r="C3" s="5" t="s">
        <v>133</v>
      </c>
      <c r="D3" s="5" t="s">
        <v>49</v>
      </c>
      <c r="E3" s="5" t="s">
        <v>51</v>
      </c>
      <c r="F3" s="5" t="s">
        <v>142</v>
      </c>
      <c r="G3" s="5">
        <v>32</v>
      </c>
      <c r="H3" s="5" t="s">
        <v>27</v>
      </c>
      <c r="I3" s="5">
        <v>1</v>
      </c>
      <c r="J3" s="5">
        <v>1</v>
      </c>
      <c r="K3" s="5">
        <v>0.4</v>
      </c>
      <c r="L3" s="6">
        <v>1.82</v>
      </c>
      <c r="M3" s="5"/>
      <c r="N3" s="5">
        <v>0.4</v>
      </c>
      <c r="O3" s="5">
        <v>0.4</v>
      </c>
      <c r="P3" s="5"/>
      <c r="Q3" s="6"/>
      <c r="R3" s="6"/>
      <c r="S3" s="6"/>
      <c r="T3" s="6">
        <v>32</v>
      </c>
      <c r="U3" s="6"/>
      <c r="V3" s="6">
        <f>L3</f>
        <v>1.82</v>
      </c>
      <c r="W3" s="6"/>
      <c r="X3" s="6"/>
      <c r="Y3" s="6">
        <v>1.82</v>
      </c>
      <c r="Z3" s="11" t="s">
        <v>227</v>
      </c>
    </row>
    <row r="4" spans="1:26" ht="96">
      <c r="A4" s="4">
        <v>5</v>
      </c>
      <c r="B4" s="4" t="s">
        <v>78</v>
      </c>
      <c r="C4" s="5" t="s">
        <v>133</v>
      </c>
      <c r="D4" s="5" t="s">
        <v>49</v>
      </c>
      <c r="E4" s="5" t="s">
        <v>51</v>
      </c>
      <c r="F4" s="5" t="s">
        <v>143</v>
      </c>
      <c r="G4" s="5">
        <v>64</v>
      </c>
      <c r="H4" s="5" t="s">
        <v>27</v>
      </c>
      <c r="I4" s="5">
        <v>1</v>
      </c>
      <c r="J4" s="5">
        <v>1</v>
      </c>
      <c r="K4" s="5">
        <v>5</v>
      </c>
      <c r="L4" s="6">
        <v>4.3</v>
      </c>
      <c r="M4" s="5"/>
      <c r="N4" s="5">
        <v>0.5</v>
      </c>
      <c r="O4" s="5">
        <v>0.5</v>
      </c>
      <c r="P4" s="5" t="s">
        <v>144</v>
      </c>
      <c r="Q4" s="6">
        <f>0.5+0.5</f>
        <v>1</v>
      </c>
      <c r="R4" s="6" t="s">
        <v>145</v>
      </c>
      <c r="S4" s="6">
        <f>((0.05*(T4-10))+0.1+0.1)</f>
        <v>1.3800000000000003</v>
      </c>
      <c r="T4" s="6">
        <v>33.6</v>
      </c>
      <c r="U4" s="6">
        <f aca="true" t="shared" si="0" ref="U4:U16">Q4+S4</f>
        <v>2.3800000000000003</v>
      </c>
      <c r="V4" s="6">
        <f aca="true" t="shared" si="1" ref="V4:V16">L4-U4</f>
        <v>1.9199999999999995</v>
      </c>
      <c r="W4" s="6">
        <v>0.2</v>
      </c>
      <c r="X4" s="6">
        <v>1.2</v>
      </c>
      <c r="Y4" s="6">
        <v>3.1</v>
      </c>
      <c r="Z4" s="11" t="s">
        <v>227</v>
      </c>
    </row>
    <row r="5" spans="1:26" ht="108">
      <c r="A5" s="4">
        <v>5</v>
      </c>
      <c r="B5" s="4" t="s">
        <v>78</v>
      </c>
      <c r="C5" s="5" t="s">
        <v>133</v>
      </c>
      <c r="D5" s="5" t="s">
        <v>49</v>
      </c>
      <c r="E5" s="5" t="s">
        <v>51</v>
      </c>
      <c r="F5" s="5" t="s">
        <v>143</v>
      </c>
      <c r="G5" s="5">
        <v>64</v>
      </c>
      <c r="H5" s="5" t="s">
        <v>27</v>
      </c>
      <c r="I5" s="5">
        <v>1</v>
      </c>
      <c r="J5" s="5">
        <v>1</v>
      </c>
      <c r="K5" s="5">
        <v>5</v>
      </c>
      <c r="L5" s="6">
        <v>5.4</v>
      </c>
      <c r="M5" s="5"/>
      <c r="N5" s="5">
        <v>0.3</v>
      </c>
      <c r="O5" s="5">
        <v>0.3</v>
      </c>
      <c r="P5" s="5" t="s">
        <v>144</v>
      </c>
      <c r="Q5" s="6">
        <f>0.5+0.5</f>
        <v>1</v>
      </c>
      <c r="R5" s="6" t="s">
        <v>146</v>
      </c>
      <c r="S5" s="6">
        <f>((0.05*(T5-10))+0.2+0.1+0.1)</f>
        <v>1.5800000000000003</v>
      </c>
      <c r="T5" s="6">
        <v>33.6</v>
      </c>
      <c r="U5" s="6">
        <f t="shared" si="0"/>
        <v>2.58</v>
      </c>
      <c r="V5" s="6">
        <f t="shared" si="1"/>
        <v>2.8200000000000003</v>
      </c>
      <c r="W5" s="6">
        <v>0.4</v>
      </c>
      <c r="X5" s="6">
        <v>1.4</v>
      </c>
      <c r="Y5" s="6">
        <v>4</v>
      </c>
      <c r="Z5" s="11" t="s">
        <v>227</v>
      </c>
    </row>
    <row r="6" spans="1:26" ht="156">
      <c r="A6" s="4">
        <v>5</v>
      </c>
      <c r="B6" s="4" t="s">
        <v>78</v>
      </c>
      <c r="C6" s="5" t="s">
        <v>133</v>
      </c>
      <c r="D6" s="5" t="s">
        <v>134</v>
      </c>
      <c r="E6" s="5" t="s">
        <v>25</v>
      </c>
      <c r="F6" s="5" t="s">
        <v>138</v>
      </c>
      <c r="G6" s="5">
        <v>64</v>
      </c>
      <c r="H6" s="5" t="s">
        <v>27</v>
      </c>
      <c r="I6" s="5">
        <v>24.96</v>
      </c>
      <c r="J6" s="5"/>
      <c r="K6" s="5">
        <v>12.2</v>
      </c>
      <c r="L6" s="6">
        <v>10.5</v>
      </c>
      <c r="M6" s="5">
        <v>10.5</v>
      </c>
      <c r="N6" s="5">
        <v>0</v>
      </c>
      <c r="O6" s="5">
        <v>0</v>
      </c>
      <c r="P6" s="5" t="s">
        <v>136</v>
      </c>
      <c r="Q6" s="6">
        <f aca="true" t="shared" si="2" ref="Q6:Q16">0.3+0.5+0.5</f>
        <v>1.3</v>
      </c>
      <c r="R6" s="6" t="s">
        <v>139</v>
      </c>
      <c r="S6" s="6">
        <f>((0.05*(T6-10))+0.2+0.2+0.1+0.1)</f>
        <v>8.35</v>
      </c>
      <c r="T6" s="6">
        <v>165</v>
      </c>
      <c r="U6" s="6">
        <f t="shared" si="0"/>
        <v>9.65</v>
      </c>
      <c r="V6" s="6">
        <f t="shared" si="1"/>
        <v>0.8499999999999996</v>
      </c>
      <c r="W6" s="6">
        <v>0.6</v>
      </c>
      <c r="X6" s="6">
        <v>1.9</v>
      </c>
      <c r="Y6" s="6">
        <v>8.6</v>
      </c>
      <c r="Z6" s="11" t="s">
        <v>227</v>
      </c>
    </row>
    <row r="7" spans="1:26" ht="96">
      <c r="A7" s="4">
        <v>5</v>
      </c>
      <c r="B7" s="4" t="s">
        <v>78</v>
      </c>
      <c r="C7" s="5" t="s">
        <v>133</v>
      </c>
      <c r="D7" s="5" t="s">
        <v>134</v>
      </c>
      <c r="E7" s="5" t="s">
        <v>25</v>
      </c>
      <c r="F7" s="5" t="s">
        <v>135</v>
      </c>
      <c r="G7" s="5">
        <v>64</v>
      </c>
      <c r="H7" s="5" t="s">
        <v>27</v>
      </c>
      <c r="I7" s="5">
        <v>7.78</v>
      </c>
      <c r="J7" s="5"/>
      <c r="K7" s="5">
        <v>12.2</v>
      </c>
      <c r="L7" s="6">
        <v>10.5</v>
      </c>
      <c r="M7" s="5">
        <v>10.5</v>
      </c>
      <c r="N7" s="5">
        <v>0</v>
      </c>
      <c r="O7" s="5">
        <v>0</v>
      </c>
      <c r="P7" s="5" t="s">
        <v>136</v>
      </c>
      <c r="Q7" s="6">
        <f t="shared" si="2"/>
        <v>1.3</v>
      </c>
      <c r="R7" s="6" t="s">
        <v>137</v>
      </c>
      <c r="S7" s="6">
        <f aca="true" t="shared" si="3" ref="S7:S16">((0.05*(T7-10))+0.2+0.1)</f>
        <v>8.05</v>
      </c>
      <c r="T7" s="6">
        <v>165</v>
      </c>
      <c r="U7" s="6">
        <f t="shared" si="0"/>
        <v>9.350000000000001</v>
      </c>
      <c r="V7" s="6">
        <f t="shared" si="1"/>
        <v>1.1499999999999986</v>
      </c>
      <c r="W7" s="6">
        <v>0.3</v>
      </c>
      <c r="X7" s="6">
        <v>1.6</v>
      </c>
      <c r="Y7" s="6">
        <v>8.9</v>
      </c>
      <c r="Z7" s="11" t="s">
        <v>227</v>
      </c>
    </row>
    <row r="8" spans="1:26" ht="96">
      <c r="A8" s="4">
        <v>5</v>
      </c>
      <c r="B8" s="4" t="s">
        <v>78</v>
      </c>
      <c r="C8" s="5" t="s">
        <v>133</v>
      </c>
      <c r="D8" s="5" t="s">
        <v>134</v>
      </c>
      <c r="E8" s="5" t="s">
        <v>25</v>
      </c>
      <c r="F8" s="5" t="s">
        <v>138</v>
      </c>
      <c r="G8" s="5">
        <v>64</v>
      </c>
      <c r="H8" s="5" t="s">
        <v>27</v>
      </c>
      <c r="I8" s="5">
        <v>19.97</v>
      </c>
      <c r="J8" s="5"/>
      <c r="K8" s="5">
        <v>12.2</v>
      </c>
      <c r="L8" s="6">
        <v>10.5</v>
      </c>
      <c r="M8" s="5">
        <v>10.5</v>
      </c>
      <c r="N8" s="5">
        <v>0</v>
      </c>
      <c r="O8" s="5">
        <v>0</v>
      </c>
      <c r="P8" s="5" t="s">
        <v>136</v>
      </c>
      <c r="Q8" s="6">
        <f t="shared" si="2"/>
        <v>1.3</v>
      </c>
      <c r="R8" s="6" t="s">
        <v>137</v>
      </c>
      <c r="S8" s="6">
        <f t="shared" si="3"/>
        <v>8.05</v>
      </c>
      <c r="T8" s="6">
        <v>165</v>
      </c>
      <c r="U8" s="6">
        <f t="shared" si="0"/>
        <v>9.350000000000001</v>
      </c>
      <c r="V8" s="6">
        <f t="shared" si="1"/>
        <v>1.1499999999999986</v>
      </c>
      <c r="W8" s="6">
        <v>0.3</v>
      </c>
      <c r="X8" s="6">
        <v>1.6</v>
      </c>
      <c r="Y8" s="6">
        <v>8.9</v>
      </c>
      <c r="Z8" s="11" t="s">
        <v>227</v>
      </c>
    </row>
    <row r="9" spans="1:26" ht="96">
      <c r="A9" s="4">
        <v>5</v>
      </c>
      <c r="B9" s="4" t="s">
        <v>78</v>
      </c>
      <c r="C9" s="5" t="s">
        <v>133</v>
      </c>
      <c r="D9" s="5" t="s">
        <v>134</v>
      </c>
      <c r="E9" s="5" t="s">
        <v>25</v>
      </c>
      <c r="F9" s="5" t="s">
        <v>138</v>
      </c>
      <c r="G9" s="5">
        <v>64</v>
      </c>
      <c r="H9" s="5" t="s">
        <v>27</v>
      </c>
      <c r="I9" s="5">
        <v>15.55</v>
      </c>
      <c r="J9" s="5"/>
      <c r="K9" s="5">
        <v>12.2</v>
      </c>
      <c r="L9" s="6">
        <v>10.5</v>
      </c>
      <c r="M9" s="5">
        <v>10.5</v>
      </c>
      <c r="N9" s="5">
        <v>0</v>
      </c>
      <c r="O9" s="5">
        <v>0</v>
      </c>
      <c r="P9" s="5" t="s">
        <v>136</v>
      </c>
      <c r="Q9" s="6">
        <f t="shared" si="2"/>
        <v>1.3</v>
      </c>
      <c r="R9" s="6" t="s">
        <v>137</v>
      </c>
      <c r="S9" s="6">
        <f t="shared" si="3"/>
        <v>8.05</v>
      </c>
      <c r="T9" s="6">
        <v>165</v>
      </c>
      <c r="U9" s="6">
        <f t="shared" si="0"/>
        <v>9.350000000000001</v>
      </c>
      <c r="V9" s="6">
        <f t="shared" si="1"/>
        <v>1.1499999999999986</v>
      </c>
      <c r="W9" s="6">
        <v>0.3</v>
      </c>
      <c r="X9" s="6">
        <v>1.6</v>
      </c>
      <c r="Y9" s="6">
        <v>8.9</v>
      </c>
      <c r="Z9" s="11" t="s">
        <v>227</v>
      </c>
    </row>
    <row r="10" spans="1:26" ht="96">
      <c r="A10" s="4">
        <v>5</v>
      </c>
      <c r="B10" s="4" t="s">
        <v>78</v>
      </c>
      <c r="C10" s="5" t="s">
        <v>133</v>
      </c>
      <c r="D10" s="5" t="s">
        <v>134</v>
      </c>
      <c r="E10" s="5" t="s">
        <v>25</v>
      </c>
      <c r="F10" s="5" t="s">
        <v>138</v>
      </c>
      <c r="G10" s="5">
        <v>64</v>
      </c>
      <c r="H10" s="5" t="s">
        <v>27</v>
      </c>
      <c r="I10" s="5">
        <v>20.28</v>
      </c>
      <c r="J10" s="5"/>
      <c r="K10" s="5">
        <v>12.2</v>
      </c>
      <c r="L10" s="6">
        <v>10.5</v>
      </c>
      <c r="M10" s="5">
        <v>10.5</v>
      </c>
      <c r="N10" s="5">
        <v>0</v>
      </c>
      <c r="O10" s="5">
        <v>0</v>
      </c>
      <c r="P10" s="5" t="s">
        <v>136</v>
      </c>
      <c r="Q10" s="6">
        <f t="shared" si="2"/>
        <v>1.3</v>
      </c>
      <c r="R10" s="6" t="s">
        <v>137</v>
      </c>
      <c r="S10" s="6">
        <f t="shared" si="3"/>
        <v>8.05</v>
      </c>
      <c r="T10" s="6">
        <v>165</v>
      </c>
      <c r="U10" s="6">
        <f t="shared" si="0"/>
        <v>9.350000000000001</v>
      </c>
      <c r="V10" s="6">
        <f t="shared" si="1"/>
        <v>1.1499999999999986</v>
      </c>
      <c r="W10" s="6">
        <v>0.3</v>
      </c>
      <c r="X10" s="6">
        <v>1.6</v>
      </c>
      <c r="Y10" s="6">
        <v>8.9</v>
      </c>
      <c r="Z10" s="11" t="s">
        <v>227</v>
      </c>
    </row>
    <row r="11" spans="1:26" ht="96">
      <c r="A11" s="4">
        <v>5</v>
      </c>
      <c r="B11" s="4" t="s">
        <v>78</v>
      </c>
      <c r="C11" s="5" t="s">
        <v>133</v>
      </c>
      <c r="D11" s="5" t="s">
        <v>134</v>
      </c>
      <c r="E11" s="5" t="s">
        <v>25</v>
      </c>
      <c r="F11" s="5" t="s">
        <v>138</v>
      </c>
      <c r="G11" s="5">
        <v>64</v>
      </c>
      <c r="H11" s="5" t="s">
        <v>27</v>
      </c>
      <c r="I11" s="5">
        <v>10.18</v>
      </c>
      <c r="J11" s="5"/>
      <c r="K11" s="5">
        <v>12.2</v>
      </c>
      <c r="L11" s="6">
        <v>10.5</v>
      </c>
      <c r="M11" s="5">
        <v>10.5</v>
      </c>
      <c r="N11" s="5">
        <v>0</v>
      </c>
      <c r="O11" s="5">
        <v>0</v>
      </c>
      <c r="P11" s="5" t="s">
        <v>136</v>
      </c>
      <c r="Q11" s="6">
        <f t="shared" si="2"/>
        <v>1.3</v>
      </c>
      <c r="R11" s="6" t="s">
        <v>137</v>
      </c>
      <c r="S11" s="6">
        <f t="shared" si="3"/>
        <v>8.05</v>
      </c>
      <c r="T11" s="6">
        <v>165</v>
      </c>
      <c r="U11" s="6">
        <f t="shared" si="0"/>
        <v>9.350000000000001</v>
      </c>
      <c r="V11" s="6">
        <f t="shared" si="1"/>
        <v>1.1499999999999986</v>
      </c>
      <c r="W11" s="6">
        <v>0.3</v>
      </c>
      <c r="X11" s="6">
        <v>1.6</v>
      </c>
      <c r="Y11" s="6">
        <v>8.9</v>
      </c>
      <c r="Z11" s="11" t="s">
        <v>227</v>
      </c>
    </row>
    <row r="12" spans="1:26" ht="96">
      <c r="A12" s="4">
        <v>5</v>
      </c>
      <c r="B12" s="4" t="s">
        <v>78</v>
      </c>
      <c r="C12" s="5" t="s">
        <v>133</v>
      </c>
      <c r="D12" s="5" t="s">
        <v>134</v>
      </c>
      <c r="E12" s="5" t="s">
        <v>25</v>
      </c>
      <c r="F12" s="5" t="s">
        <v>140</v>
      </c>
      <c r="G12" s="5">
        <v>64</v>
      </c>
      <c r="H12" s="5" t="s">
        <v>27</v>
      </c>
      <c r="I12" s="5">
        <v>31.1</v>
      </c>
      <c r="J12" s="5"/>
      <c r="K12" s="5">
        <v>12.2</v>
      </c>
      <c r="L12" s="6">
        <v>10.5</v>
      </c>
      <c r="M12" s="5">
        <v>10.5</v>
      </c>
      <c r="N12" s="5">
        <v>0</v>
      </c>
      <c r="O12" s="5">
        <v>0</v>
      </c>
      <c r="P12" s="5" t="s">
        <v>136</v>
      </c>
      <c r="Q12" s="6">
        <f t="shared" si="2"/>
        <v>1.3</v>
      </c>
      <c r="R12" s="6" t="s">
        <v>137</v>
      </c>
      <c r="S12" s="6">
        <f t="shared" si="3"/>
        <v>8.05</v>
      </c>
      <c r="T12" s="6">
        <v>165</v>
      </c>
      <c r="U12" s="6">
        <f t="shared" si="0"/>
        <v>9.350000000000001</v>
      </c>
      <c r="V12" s="6">
        <f t="shared" si="1"/>
        <v>1.1499999999999986</v>
      </c>
      <c r="W12" s="6">
        <v>0.3</v>
      </c>
      <c r="X12" s="6">
        <v>1.6</v>
      </c>
      <c r="Y12" s="6">
        <v>8.9</v>
      </c>
      <c r="Z12" s="11" t="s">
        <v>227</v>
      </c>
    </row>
    <row r="13" spans="1:26" ht="96">
      <c r="A13" s="4">
        <v>5</v>
      </c>
      <c r="B13" s="4" t="s">
        <v>78</v>
      </c>
      <c r="C13" s="5" t="s">
        <v>133</v>
      </c>
      <c r="D13" s="5" t="s">
        <v>134</v>
      </c>
      <c r="E13" s="5" t="s">
        <v>25</v>
      </c>
      <c r="F13" s="5" t="s">
        <v>141</v>
      </c>
      <c r="G13" s="5">
        <v>64</v>
      </c>
      <c r="H13" s="5" t="s">
        <v>27</v>
      </c>
      <c r="I13" s="5">
        <v>31.1</v>
      </c>
      <c r="J13" s="5"/>
      <c r="K13" s="5">
        <v>12.2</v>
      </c>
      <c r="L13" s="6">
        <v>10.5</v>
      </c>
      <c r="M13" s="5">
        <v>10.5</v>
      </c>
      <c r="N13" s="5">
        <v>0</v>
      </c>
      <c r="O13" s="5">
        <v>0</v>
      </c>
      <c r="P13" s="5" t="s">
        <v>136</v>
      </c>
      <c r="Q13" s="6">
        <f t="shared" si="2"/>
        <v>1.3</v>
      </c>
      <c r="R13" s="6" t="s">
        <v>137</v>
      </c>
      <c r="S13" s="6">
        <f t="shared" si="3"/>
        <v>8.05</v>
      </c>
      <c r="T13" s="6">
        <v>165</v>
      </c>
      <c r="U13" s="6">
        <f t="shared" si="0"/>
        <v>9.350000000000001</v>
      </c>
      <c r="V13" s="6">
        <f t="shared" si="1"/>
        <v>1.1499999999999986</v>
      </c>
      <c r="W13" s="6">
        <v>0.3</v>
      </c>
      <c r="X13" s="6">
        <v>1.6</v>
      </c>
      <c r="Y13" s="6">
        <v>8.9</v>
      </c>
      <c r="Z13" s="11" t="s">
        <v>227</v>
      </c>
    </row>
    <row r="14" spans="1:26" ht="96">
      <c r="A14" s="4">
        <v>5</v>
      </c>
      <c r="B14" s="4" t="s">
        <v>78</v>
      </c>
      <c r="C14" s="5" t="s">
        <v>133</v>
      </c>
      <c r="D14" s="5" t="s">
        <v>134</v>
      </c>
      <c r="E14" s="5" t="s">
        <v>25</v>
      </c>
      <c r="F14" s="5" t="s">
        <v>138</v>
      </c>
      <c r="G14" s="5">
        <v>64</v>
      </c>
      <c r="H14" s="5" t="s">
        <v>27</v>
      </c>
      <c r="I14" s="5">
        <v>19.97</v>
      </c>
      <c r="J14" s="5"/>
      <c r="K14" s="5">
        <v>12.2</v>
      </c>
      <c r="L14" s="6">
        <v>10.5</v>
      </c>
      <c r="M14" s="5">
        <v>10.5</v>
      </c>
      <c r="N14" s="5">
        <v>0</v>
      </c>
      <c r="O14" s="5">
        <v>0</v>
      </c>
      <c r="P14" s="5" t="s">
        <v>136</v>
      </c>
      <c r="Q14" s="6">
        <f t="shared" si="2"/>
        <v>1.3</v>
      </c>
      <c r="R14" s="6" t="s">
        <v>137</v>
      </c>
      <c r="S14" s="6">
        <f t="shared" si="3"/>
        <v>8.05</v>
      </c>
      <c r="T14" s="6">
        <v>165</v>
      </c>
      <c r="U14" s="6">
        <f t="shared" si="0"/>
        <v>9.350000000000001</v>
      </c>
      <c r="V14" s="6">
        <f t="shared" si="1"/>
        <v>1.1499999999999986</v>
      </c>
      <c r="W14" s="6">
        <v>0.3</v>
      </c>
      <c r="X14" s="6">
        <v>1.6</v>
      </c>
      <c r="Y14" s="6">
        <v>8.9</v>
      </c>
      <c r="Z14" s="11" t="s">
        <v>227</v>
      </c>
    </row>
    <row r="15" spans="1:26" ht="96">
      <c r="A15" s="4">
        <v>5</v>
      </c>
      <c r="B15" s="4" t="s">
        <v>78</v>
      </c>
      <c r="C15" s="5" t="s">
        <v>133</v>
      </c>
      <c r="D15" s="5" t="s">
        <v>134</v>
      </c>
      <c r="E15" s="5" t="s">
        <v>25</v>
      </c>
      <c r="F15" s="5" t="s">
        <v>138</v>
      </c>
      <c r="G15" s="5">
        <v>64</v>
      </c>
      <c r="H15" s="5" t="s">
        <v>27</v>
      </c>
      <c r="I15" s="5">
        <v>20.28</v>
      </c>
      <c r="J15" s="5"/>
      <c r="K15" s="5">
        <v>12.2</v>
      </c>
      <c r="L15" s="6">
        <v>10.5</v>
      </c>
      <c r="M15" s="5">
        <v>10.5</v>
      </c>
      <c r="N15" s="5">
        <v>0</v>
      </c>
      <c r="O15" s="5">
        <v>0</v>
      </c>
      <c r="P15" s="5" t="s">
        <v>136</v>
      </c>
      <c r="Q15" s="6">
        <f t="shared" si="2"/>
        <v>1.3</v>
      </c>
      <c r="R15" s="6" t="s">
        <v>137</v>
      </c>
      <c r="S15" s="6">
        <f t="shared" si="3"/>
        <v>8.05</v>
      </c>
      <c r="T15" s="6">
        <v>165</v>
      </c>
      <c r="U15" s="6">
        <f t="shared" si="0"/>
        <v>9.350000000000001</v>
      </c>
      <c r="V15" s="6">
        <f t="shared" si="1"/>
        <v>1.1499999999999986</v>
      </c>
      <c r="W15" s="6">
        <v>0.3</v>
      </c>
      <c r="X15" s="6">
        <v>1.6</v>
      </c>
      <c r="Y15" s="6">
        <v>8.9</v>
      </c>
      <c r="Z15" s="11" t="s">
        <v>227</v>
      </c>
    </row>
    <row r="16" spans="1:26" ht="96">
      <c r="A16" s="4">
        <v>5</v>
      </c>
      <c r="B16" s="4" t="s">
        <v>78</v>
      </c>
      <c r="C16" s="5" t="s">
        <v>133</v>
      </c>
      <c r="D16" s="5" t="s">
        <v>134</v>
      </c>
      <c r="E16" s="5" t="s">
        <v>25</v>
      </c>
      <c r="F16" s="5" t="s">
        <v>138</v>
      </c>
      <c r="G16" s="5">
        <v>64</v>
      </c>
      <c r="H16" s="5" t="s">
        <v>27</v>
      </c>
      <c r="I16" s="5">
        <v>10.18</v>
      </c>
      <c r="J16" s="5"/>
      <c r="K16" s="5">
        <v>12.2</v>
      </c>
      <c r="L16" s="6">
        <v>10.5</v>
      </c>
      <c r="M16" s="5">
        <v>10.5</v>
      </c>
      <c r="N16" s="5">
        <v>0</v>
      </c>
      <c r="O16" s="5">
        <v>0</v>
      </c>
      <c r="P16" s="5" t="s">
        <v>136</v>
      </c>
      <c r="Q16" s="6">
        <f t="shared" si="2"/>
        <v>1.3</v>
      </c>
      <c r="R16" s="6" t="s">
        <v>137</v>
      </c>
      <c r="S16" s="6">
        <f t="shared" si="3"/>
        <v>8.05</v>
      </c>
      <c r="T16" s="6">
        <v>165</v>
      </c>
      <c r="U16" s="6">
        <f t="shared" si="0"/>
        <v>9.350000000000001</v>
      </c>
      <c r="V16" s="6">
        <f t="shared" si="1"/>
        <v>1.1499999999999986</v>
      </c>
      <c r="W16" s="6">
        <v>0.3</v>
      </c>
      <c r="X16" s="6">
        <v>1.6</v>
      </c>
      <c r="Y16" s="6">
        <v>8.9</v>
      </c>
      <c r="Z16" s="11" t="s">
        <v>227</v>
      </c>
    </row>
    <row r="17" ht="12.75">
      <c r="Z17" s="8"/>
    </row>
    <row r="18" ht="12.75">
      <c r="Z18" s="8"/>
    </row>
    <row r="19" ht="12.75">
      <c r="Z19" s="8"/>
    </row>
    <row r="20" ht="12.75">
      <c r="Z20" s="8"/>
    </row>
    <row r="21" ht="12.75">
      <c r="Z21" s="8"/>
    </row>
    <row r="22" ht="12.75">
      <c r="Z22" s="8"/>
    </row>
    <row r="23" ht="12.75">
      <c r="Z23" s="8"/>
    </row>
    <row r="24" ht="12.75">
      <c r="Z24" s="8"/>
    </row>
    <row r="25" ht="12.75">
      <c r="Z25" s="8"/>
    </row>
    <row r="26" ht="12.75">
      <c r="Z26" s="8"/>
    </row>
    <row r="27" ht="12.75">
      <c r="Z27" s="8"/>
    </row>
    <row r="28" ht="12.75">
      <c r="Z28" s="8"/>
    </row>
    <row r="29" ht="12.75">
      <c r="Z29" s="8"/>
    </row>
    <row r="30" ht="12.75">
      <c r="Z30" s="8"/>
    </row>
    <row r="31" ht="12.75">
      <c r="Z31" s="8"/>
    </row>
    <row r="32" ht="12.75">
      <c r="Z32" s="8"/>
    </row>
    <row r="33" ht="12.75">
      <c r="Z33" s="8"/>
    </row>
    <row r="34" ht="12.75">
      <c r="Z34" s="8"/>
    </row>
    <row r="35" ht="12.75">
      <c r="Z35" s="8"/>
    </row>
    <row r="36" ht="12.75">
      <c r="Z36" s="8"/>
    </row>
    <row r="37" ht="12.75">
      <c r="Z37" s="8"/>
    </row>
    <row r="38" ht="12.75">
      <c r="Z38" s="8"/>
    </row>
    <row r="39" ht="12.75">
      <c r="Z39" s="8"/>
    </row>
    <row r="40" ht="12.75">
      <c r="Z40" s="8"/>
    </row>
    <row r="41" ht="12.75">
      <c r="Z41" s="8"/>
    </row>
    <row r="42" ht="12.75">
      <c r="Z42" s="8"/>
    </row>
    <row r="43" ht="12.75">
      <c r="Z43" s="8"/>
    </row>
    <row r="44" ht="12.75">
      <c r="Z44" s="8"/>
    </row>
    <row r="45" ht="12.75">
      <c r="Z45" s="8"/>
    </row>
    <row r="46" ht="12.75">
      <c r="Z46" s="8"/>
    </row>
    <row r="47" ht="12.75">
      <c r="Z47" s="8"/>
    </row>
    <row r="48" ht="12.75">
      <c r="Z48" s="8"/>
    </row>
    <row r="49" ht="12.75">
      <c r="Z49" s="8"/>
    </row>
    <row r="50" ht="12.75">
      <c r="Z50" s="8"/>
    </row>
    <row r="51" ht="12.75">
      <c r="Z51" s="8"/>
    </row>
    <row r="52" ht="12.75">
      <c r="Z52" s="8"/>
    </row>
    <row r="53" ht="12.75">
      <c r="Z53" s="8"/>
    </row>
  </sheetData>
  <mergeCells count="1">
    <mergeCell ref="W1:Y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Z42"/>
  <sheetViews>
    <sheetView showZeros="0" zoomScale="70" zoomScaleNormal="70" workbookViewId="0" topLeftCell="A1">
      <pane xSplit="2" ySplit="2" topLeftCell="M3" activePane="bottomRight" state="frozen"/>
      <selection pane="topLeft"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ColWidth="9.140625" defaultRowHeight="12.75"/>
  <cols>
    <col min="1" max="1" width="10.140625" style="0" customWidth="1"/>
    <col min="2" max="25" width="15.7109375" style="0" customWidth="1"/>
    <col min="26" max="26" width="15.7109375" style="9" customWidth="1"/>
  </cols>
  <sheetData>
    <row r="1" spans="1:2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5" t="s">
        <v>224</v>
      </c>
      <c r="X1" s="15"/>
      <c r="Y1" s="15"/>
      <c r="Z1" s="7"/>
    </row>
    <row r="2" spans="1:26" s="3" customFormat="1" ht="63.7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12" t="s">
        <v>18</v>
      </c>
      <c r="X2" s="12" t="s">
        <v>20</v>
      </c>
      <c r="Y2" s="12" t="s">
        <v>21</v>
      </c>
      <c r="Z2" s="10" t="s">
        <v>223</v>
      </c>
    </row>
    <row r="3" spans="1:26" ht="36">
      <c r="A3" s="4">
        <v>6</v>
      </c>
      <c r="B3" s="4" t="s">
        <v>78</v>
      </c>
      <c r="C3" s="5" t="s">
        <v>48</v>
      </c>
      <c r="D3" s="5" t="s">
        <v>147</v>
      </c>
      <c r="E3" s="5" t="s">
        <v>25</v>
      </c>
      <c r="F3" s="5">
        <v>8.5</v>
      </c>
      <c r="G3" s="5">
        <v>0.079</v>
      </c>
      <c r="H3" s="5" t="s">
        <v>27</v>
      </c>
      <c r="I3" s="5">
        <v>2</v>
      </c>
      <c r="J3" s="5"/>
      <c r="K3" s="5">
        <v>5.136</v>
      </c>
      <c r="L3" s="6">
        <v>5.136</v>
      </c>
      <c r="M3" s="5"/>
      <c r="N3" s="5">
        <v>0.108</v>
      </c>
      <c r="O3" s="5">
        <v>0.108</v>
      </c>
      <c r="P3" s="5" t="s">
        <v>58</v>
      </c>
      <c r="Q3" s="6">
        <f>0.5</f>
        <v>0.5</v>
      </c>
      <c r="R3" s="6" t="s">
        <v>85</v>
      </c>
      <c r="S3" s="6">
        <f>((G3/1000)+(0.05*(T3-10)))</f>
        <v>2.980079</v>
      </c>
      <c r="T3" s="6">
        <v>69.6</v>
      </c>
      <c r="U3" s="6">
        <f aca="true" t="shared" si="0" ref="U3:U16">Q3+S3</f>
        <v>3.480079</v>
      </c>
      <c r="V3" s="6">
        <f aca="true" t="shared" si="1" ref="V3:V16">L3-U3</f>
        <v>1.6559210000000002</v>
      </c>
      <c r="W3" s="6">
        <v>7.9E-05</v>
      </c>
      <c r="X3" s="6">
        <v>0.500079</v>
      </c>
      <c r="Y3" s="6">
        <v>4.635921</v>
      </c>
      <c r="Z3" s="11" t="s">
        <v>225</v>
      </c>
    </row>
    <row r="4" spans="1:26" ht="36">
      <c r="A4" s="4">
        <v>6</v>
      </c>
      <c r="B4" s="4" t="s">
        <v>78</v>
      </c>
      <c r="C4" s="5" t="s">
        <v>48</v>
      </c>
      <c r="D4" s="5" t="s">
        <v>147</v>
      </c>
      <c r="E4" s="5" t="s">
        <v>25</v>
      </c>
      <c r="F4" s="5">
        <v>15</v>
      </c>
      <c r="G4" s="5">
        <v>0.079</v>
      </c>
      <c r="H4" s="5" t="s">
        <v>27</v>
      </c>
      <c r="I4" s="5">
        <v>2</v>
      </c>
      <c r="J4" s="5"/>
      <c r="K4" s="5">
        <v>5.237</v>
      </c>
      <c r="L4" s="6">
        <v>5.237</v>
      </c>
      <c r="M4" s="5"/>
      <c r="N4" s="5">
        <v>0.108</v>
      </c>
      <c r="O4" s="5">
        <v>0.108</v>
      </c>
      <c r="P4" s="5" t="s">
        <v>58</v>
      </c>
      <c r="Q4" s="6">
        <f>0.5</f>
        <v>0.5</v>
      </c>
      <c r="R4" s="6" t="s">
        <v>85</v>
      </c>
      <c r="S4" s="6">
        <f>((G4/1000)+(0.05*(T4-10)))</f>
        <v>2.980079</v>
      </c>
      <c r="T4" s="6">
        <v>69.6</v>
      </c>
      <c r="U4" s="6">
        <f t="shared" si="0"/>
        <v>3.480079</v>
      </c>
      <c r="V4" s="6">
        <f t="shared" si="1"/>
        <v>1.7569210000000002</v>
      </c>
      <c r="W4" s="6">
        <v>7.9E-05</v>
      </c>
      <c r="X4" s="6">
        <v>0.500079</v>
      </c>
      <c r="Y4" s="6">
        <v>4.736921</v>
      </c>
      <c r="Z4" s="11" t="s">
        <v>225</v>
      </c>
    </row>
    <row r="5" spans="1:26" ht="36">
      <c r="A5" s="4">
        <v>6</v>
      </c>
      <c r="B5" s="4" t="s">
        <v>78</v>
      </c>
      <c r="C5" s="5" t="s">
        <v>48</v>
      </c>
      <c r="D5" s="5" t="s">
        <v>147</v>
      </c>
      <c r="E5" s="5" t="s">
        <v>25</v>
      </c>
      <c r="F5" s="5">
        <v>15</v>
      </c>
      <c r="G5" s="5">
        <v>0.079</v>
      </c>
      <c r="H5" s="5" t="s">
        <v>27</v>
      </c>
      <c r="I5" s="5">
        <v>2</v>
      </c>
      <c r="J5" s="5"/>
      <c r="K5" s="5">
        <v>5.338</v>
      </c>
      <c r="L5" s="6">
        <v>5.338</v>
      </c>
      <c r="M5" s="5"/>
      <c r="N5" s="5">
        <v>0.108</v>
      </c>
      <c r="O5" s="5">
        <v>0.108</v>
      </c>
      <c r="P5" s="5" t="s">
        <v>58</v>
      </c>
      <c r="Q5" s="6">
        <f>0.5</f>
        <v>0.5</v>
      </c>
      <c r="R5" s="6" t="s">
        <v>85</v>
      </c>
      <c r="S5" s="6">
        <f>((G5/1000)+(0.05*(T5-10)))</f>
        <v>2.980079</v>
      </c>
      <c r="T5" s="6">
        <v>69.6</v>
      </c>
      <c r="U5" s="6">
        <f t="shared" si="0"/>
        <v>3.480079</v>
      </c>
      <c r="V5" s="6">
        <f t="shared" si="1"/>
        <v>1.8579210000000002</v>
      </c>
      <c r="W5" s="6">
        <v>7.9E-05</v>
      </c>
      <c r="X5" s="6">
        <v>0.500079</v>
      </c>
      <c r="Y5" s="6">
        <v>4.837921</v>
      </c>
      <c r="Z5" s="11" t="s">
        <v>225</v>
      </c>
    </row>
    <row r="6" spans="1:26" ht="36">
      <c r="A6" s="4">
        <v>6</v>
      </c>
      <c r="B6" s="4" t="s">
        <v>78</v>
      </c>
      <c r="C6" s="5" t="s">
        <v>48</v>
      </c>
      <c r="D6" s="5" t="s">
        <v>147</v>
      </c>
      <c r="E6" s="5" t="s">
        <v>25</v>
      </c>
      <c r="F6" s="5">
        <v>8</v>
      </c>
      <c r="G6" s="5">
        <v>0.079</v>
      </c>
      <c r="H6" s="5" t="s">
        <v>27</v>
      </c>
      <c r="I6" s="5">
        <v>2</v>
      </c>
      <c r="J6" s="5"/>
      <c r="K6" s="5">
        <v>5.367</v>
      </c>
      <c r="L6" s="6">
        <v>5.367</v>
      </c>
      <c r="M6" s="5"/>
      <c r="N6" s="5">
        <v>0.108</v>
      </c>
      <c r="O6" s="5">
        <v>0.108</v>
      </c>
      <c r="P6" s="5" t="s">
        <v>58</v>
      </c>
      <c r="Q6" s="6">
        <f>0.5</f>
        <v>0.5</v>
      </c>
      <c r="R6" s="6" t="s">
        <v>85</v>
      </c>
      <c r="S6" s="6">
        <f>((G6/1000)+(0.05*(T6-10)))</f>
        <v>2.980079</v>
      </c>
      <c r="T6" s="6">
        <v>69.6</v>
      </c>
      <c r="U6" s="6">
        <f t="shared" si="0"/>
        <v>3.480079</v>
      </c>
      <c r="V6" s="6">
        <f t="shared" si="1"/>
        <v>1.886921</v>
      </c>
      <c r="W6" s="6">
        <v>7.9E-05</v>
      </c>
      <c r="X6" s="6">
        <v>0.500079</v>
      </c>
      <c r="Y6" s="6">
        <v>4.866921</v>
      </c>
      <c r="Z6" s="11" t="s">
        <v>225</v>
      </c>
    </row>
    <row r="7" spans="1:26" ht="84">
      <c r="A7" s="4">
        <v>6</v>
      </c>
      <c r="B7" s="4" t="s">
        <v>78</v>
      </c>
      <c r="C7" s="5" t="s">
        <v>48</v>
      </c>
      <c r="D7" s="5" t="s">
        <v>147</v>
      </c>
      <c r="E7" s="5" t="s">
        <v>25</v>
      </c>
      <c r="F7" s="5" t="s">
        <v>150</v>
      </c>
      <c r="G7" s="5">
        <v>0.032</v>
      </c>
      <c r="H7" s="5" t="s">
        <v>27</v>
      </c>
      <c r="I7" s="5">
        <v>13</v>
      </c>
      <c r="J7" s="5"/>
      <c r="K7" s="5">
        <v>6.1</v>
      </c>
      <c r="L7" s="6">
        <v>6.1</v>
      </c>
      <c r="M7" s="5"/>
      <c r="N7" s="5">
        <v>0</v>
      </c>
      <c r="O7" s="5">
        <v>0</v>
      </c>
      <c r="P7" s="5" t="s">
        <v>126</v>
      </c>
      <c r="Q7" s="6">
        <v>0.3</v>
      </c>
      <c r="R7" s="6" t="s">
        <v>151</v>
      </c>
      <c r="S7" s="6">
        <f>0.2+0.2+0.2</f>
        <v>0.6000000000000001</v>
      </c>
      <c r="T7" s="6">
        <v>65</v>
      </c>
      <c r="U7" s="6">
        <f t="shared" si="0"/>
        <v>0.9000000000000001</v>
      </c>
      <c r="V7" s="6">
        <f t="shared" si="1"/>
        <v>5.199999999999999</v>
      </c>
      <c r="W7" s="6">
        <v>0.6</v>
      </c>
      <c r="X7" s="6">
        <v>0.9</v>
      </c>
      <c r="Y7" s="6">
        <v>5.2</v>
      </c>
      <c r="Z7" s="11" t="s">
        <v>225</v>
      </c>
    </row>
    <row r="8" spans="1:26" ht="72">
      <c r="A8" s="4">
        <v>6</v>
      </c>
      <c r="B8" s="4" t="s">
        <v>78</v>
      </c>
      <c r="C8" s="5" t="s">
        <v>48</v>
      </c>
      <c r="D8" s="5" t="s">
        <v>147</v>
      </c>
      <c r="E8" s="5" t="s">
        <v>25</v>
      </c>
      <c r="F8" s="5" t="s">
        <v>153</v>
      </c>
      <c r="G8" s="5">
        <v>32</v>
      </c>
      <c r="H8" s="5" t="s">
        <v>27</v>
      </c>
      <c r="I8" s="5">
        <v>2</v>
      </c>
      <c r="J8" s="5"/>
      <c r="K8" s="5">
        <v>6.47</v>
      </c>
      <c r="L8" s="6">
        <v>6.47</v>
      </c>
      <c r="M8" s="5"/>
      <c r="N8" s="5">
        <v>0.048</v>
      </c>
      <c r="O8" s="5">
        <v>0.048</v>
      </c>
      <c r="P8" s="5" t="s">
        <v>31</v>
      </c>
      <c r="Q8" s="6">
        <f>0.5+0.5</f>
        <v>1</v>
      </c>
      <c r="R8" s="6" t="s">
        <v>117</v>
      </c>
      <c r="S8" s="6">
        <f>((G8/1000)+(0.05*(T8-10))+0.2)</f>
        <v>3.212</v>
      </c>
      <c r="T8" s="6">
        <v>69.6</v>
      </c>
      <c r="U8" s="6">
        <f t="shared" si="0"/>
        <v>4.212</v>
      </c>
      <c r="V8" s="6">
        <f t="shared" si="1"/>
        <v>2.258</v>
      </c>
      <c r="W8" s="6">
        <v>0.232</v>
      </c>
      <c r="X8" s="6">
        <v>1.232</v>
      </c>
      <c r="Y8" s="6">
        <v>5.2379999999999995</v>
      </c>
      <c r="Z8" s="11" t="s">
        <v>225</v>
      </c>
    </row>
    <row r="9" spans="1:26" ht="60">
      <c r="A9" s="4">
        <v>6</v>
      </c>
      <c r="B9" s="4" t="s">
        <v>78</v>
      </c>
      <c r="C9" s="5" t="s">
        <v>48</v>
      </c>
      <c r="D9" s="5" t="s">
        <v>147</v>
      </c>
      <c r="E9" s="5" t="s">
        <v>25</v>
      </c>
      <c r="F9" s="5" t="s">
        <v>148</v>
      </c>
      <c r="G9" s="5">
        <v>0.032</v>
      </c>
      <c r="H9" s="5" t="s">
        <v>27</v>
      </c>
      <c r="I9" s="5">
        <v>18</v>
      </c>
      <c r="J9" s="5"/>
      <c r="K9" s="5">
        <v>6.1</v>
      </c>
      <c r="L9" s="6">
        <v>6.1</v>
      </c>
      <c r="M9" s="5"/>
      <c r="N9" s="5">
        <v>0</v>
      </c>
      <c r="O9" s="5">
        <v>0</v>
      </c>
      <c r="P9" s="5" t="s">
        <v>126</v>
      </c>
      <c r="Q9" s="6">
        <v>0.3</v>
      </c>
      <c r="R9" s="6" t="s">
        <v>149</v>
      </c>
      <c r="S9" s="6">
        <f>0.2+0.2</f>
        <v>0.4</v>
      </c>
      <c r="T9" s="6">
        <v>65</v>
      </c>
      <c r="U9" s="6">
        <f t="shared" si="0"/>
        <v>0.7</v>
      </c>
      <c r="V9" s="6">
        <f t="shared" si="1"/>
        <v>5.3999999999999995</v>
      </c>
      <c r="W9" s="6">
        <v>0.4</v>
      </c>
      <c r="X9" s="6">
        <v>0.7</v>
      </c>
      <c r="Y9" s="6">
        <v>5.4</v>
      </c>
      <c r="Z9" s="11" t="s">
        <v>225</v>
      </c>
    </row>
    <row r="10" spans="1:26" ht="72">
      <c r="A10" s="4">
        <v>6</v>
      </c>
      <c r="B10" s="4" t="s">
        <v>78</v>
      </c>
      <c r="C10" s="5" t="s">
        <v>48</v>
      </c>
      <c r="D10" s="5" t="s">
        <v>147</v>
      </c>
      <c r="E10" s="5" t="s">
        <v>25</v>
      </c>
      <c r="F10" s="5" t="s">
        <v>154</v>
      </c>
      <c r="G10" s="5">
        <v>32</v>
      </c>
      <c r="H10" s="5" t="s">
        <v>27</v>
      </c>
      <c r="I10" s="5">
        <v>2</v>
      </c>
      <c r="J10" s="5"/>
      <c r="K10" s="5">
        <v>6.87</v>
      </c>
      <c r="L10" s="6">
        <v>6.87</v>
      </c>
      <c r="M10" s="5"/>
      <c r="N10" s="5">
        <v>0.048</v>
      </c>
      <c r="O10" s="5">
        <v>0.048</v>
      </c>
      <c r="P10" s="5" t="s">
        <v>31</v>
      </c>
      <c r="Q10" s="6">
        <f>0.5+0.5</f>
        <v>1</v>
      </c>
      <c r="R10" s="6" t="s">
        <v>117</v>
      </c>
      <c r="S10" s="6">
        <f>((G10/1000)+(0.05*(T10-10))+0.2)</f>
        <v>3.212</v>
      </c>
      <c r="T10" s="6">
        <v>69.6</v>
      </c>
      <c r="U10" s="6">
        <f t="shared" si="0"/>
        <v>4.212</v>
      </c>
      <c r="V10" s="6">
        <f t="shared" si="1"/>
        <v>2.6580000000000004</v>
      </c>
      <c r="W10" s="6">
        <v>0.232</v>
      </c>
      <c r="X10" s="6">
        <v>1.232</v>
      </c>
      <c r="Y10" s="6">
        <v>5.638</v>
      </c>
      <c r="Z10" s="11" t="s">
        <v>225</v>
      </c>
    </row>
    <row r="11" spans="1:26" ht="72">
      <c r="A11" s="4">
        <v>6</v>
      </c>
      <c r="B11" s="4" t="s">
        <v>78</v>
      </c>
      <c r="C11" s="5" t="s">
        <v>48</v>
      </c>
      <c r="D11" s="5" t="s">
        <v>147</v>
      </c>
      <c r="E11" s="5" t="s">
        <v>25</v>
      </c>
      <c r="F11" s="5" t="s">
        <v>153</v>
      </c>
      <c r="G11" s="5">
        <v>32</v>
      </c>
      <c r="H11" s="5" t="s">
        <v>27</v>
      </c>
      <c r="I11" s="5">
        <v>2</v>
      </c>
      <c r="J11" s="5"/>
      <c r="K11" s="5">
        <v>6.94</v>
      </c>
      <c r="L11" s="6">
        <v>6.94</v>
      </c>
      <c r="M11" s="5"/>
      <c r="N11" s="5">
        <v>0.048</v>
      </c>
      <c r="O11" s="5">
        <v>0.048</v>
      </c>
      <c r="P11" s="5" t="s">
        <v>31</v>
      </c>
      <c r="Q11" s="6">
        <f>0.5+0.5</f>
        <v>1</v>
      </c>
      <c r="R11" s="6" t="s">
        <v>117</v>
      </c>
      <c r="S11" s="6">
        <f>((G11/1000)+(0.05*(T11-10))+0.2)</f>
        <v>3.212</v>
      </c>
      <c r="T11" s="6">
        <v>69.6</v>
      </c>
      <c r="U11" s="6">
        <f t="shared" si="0"/>
        <v>4.212</v>
      </c>
      <c r="V11" s="6">
        <f t="shared" si="1"/>
        <v>2.7280000000000006</v>
      </c>
      <c r="W11" s="6">
        <v>0.232</v>
      </c>
      <c r="X11" s="6">
        <v>1.232</v>
      </c>
      <c r="Y11" s="6">
        <v>5.708</v>
      </c>
      <c r="Z11" s="11" t="s">
        <v>225</v>
      </c>
    </row>
    <row r="12" spans="1:26" ht="72">
      <c r="A12" s="4">
        <v>6</v>
      </c>
      <c r="B12" s="4" t="s">
        <v>78</v>
      </c>
      <c r="C12" s="5" t="s">
        <v>48</v>
      </c>
      <c r="D12" s="5" t="s">
        <v>147</v>
      </c>
      <c r="E12" s="5" t="s">
        <v>25</v>
      </c>
      <c r="F12" s="5" t="s">
        <v>152</v>
      </c>
      <c r="G12" s="5">
        <v>0.079</v>
      </c>
      <c r="H12" s="5" t="s">
        <v>27</v>
      </c>
      <c r="I12" s="5">
        <v>2</v>
      </c>
      <c r="J12" s="5"/>
      <c r="K12" s="5">
        <v>7.09</v>
      </c>
      <c r="L12" s="6">
        <v>7.09</v>
      </c>
      <c r="M12" s="5"/>
      <c r="N12" s="5">
        <v>0.048</v>
      </c>
      <c r="O12" s="5">
        <v>0.048</v>
      </c>
      <c r="P12" s="5" t="s">
        <v>31</v>
      </c>
      <c r="Q12" s="6">
        <f>0.5+0.5</f>
        <v>1</v>
      </c>
      <c r="R12" s="6" t="s">
        <v>117</v>
      </c>
      <c r="S12" s="6">
        <f>((G12/1000)+(0.05*(T12-10))+0.2)</f>
        <v>3.180079</v>
      </c>
      <c r="T12" s="6">
        <v>69.6</v>
      </c>
      <c r="U12" s="6">
        <f t="shared" si="0"/>
        <v>4.180079</v>
      </c>
      <c r="V12" s="6">
        <f t="shared" si="1"/>
        <v>2.9099209999999998</v>
      </c>
      <c r="W12" s="6">
        <v>0.200079</v>
      </c>
      <c r="X12" s="6">
        <v>1.2000790000000001</v>
      </c>
      <c r="Y12" s="6">
        <v>5.889920999999999</v>
      </c>
      <c r="Z12" s="11" t="s">
        <v>225</v>
      </c>
    </row>
    <row r="13" spans="1:26" ht="60">
      <c r="A13" s="4">
        <v>6</v>
      </c>
      <c r="B13" s="4" t="s">
        <v>78</v>
      </c>
      <c r="C13" s="5" t="s">
        <v>48</v>
      </c>
      <c r="D13" s="5" t="s">
        <v>147</v>
      </c>
      <c r="E13" s="5" t="s">
        <v>25</v>
      </c>
      <c r="F13" s="5" t="s">
        <v>155</v>
      </c>
      <c r="G13" s="5">
        <v>0.5</v>
      </c>
      <c r="H13" s="5" t="s">
        <v>27</v>
      </c>
      <c r="I13" s="5">
        <v>3</v>
      </c>
      <c r="J13" s="5"/>
      <c r="K13" s="5">
        <v>13.7</v>
      </c>
      <c r="L13" s="6">
        <v>7.56</v>
      </c>
      <c r="M13" s="5"/>
      <c r="N13" s="5">
        <v>0</v>
      </c>
      <c r="O13" s="5">
        <v>0</v>
      </c>
      <c r="P13" s="5" t="s">
        <v>159</v>
      </c>
      <c r="Q13" s="6">
        <f>0.3+0.3</f>
        <v>0.6</v>
      </c>
      <c r="R13" s="6" t="s">
        <v>106</v>
      </c>
      <c r="S13" s="6">
        <f>(0.05*(T13-10))</f>
        <v>7.599</v>
      </c>
      <c r="T13" s="6">
        <v>161.98</v>
      </c>
      <c r="U13" s="6">
        <f t="shared" si="0"/>
        <v>8.199</v>
      </c>
      <c r="V13" s="6">
        <f t="shared" si="1"/>
        <v>-0.6390000000000002</v>
      </c>
      <c r="W13" s="6">
        <v>0</v>
      </c>
      <c r="X13" s="6">
        <v>0.6</v>
      </c>
      <c r="Y13" s="6">
        <v>6.96</v>
      </c>
      <c r="Z13" s="11" t="s">
        <v>225</v>
      </c>
    </row>
    <row r="14" spans="1:26" ht="132">
      <c r="A14" s="4">
        <v>6</v>
      </c>
      <c r="B14" s="4" t="s">
        <v>78</v>
      </c>
      <c r="C14" s="5" t="s">
        <v>48</v>
      </c>
      <c r="D14" s="5" t="s">
        <v>147</v>
      </c>
      <c r="E14" s="5" t="s">
        <v>25</v>
      </c>
      <c r="F14" s="5" t="s">
        <v>161</v>
      </c>
      <c r="G14" s="5">
        <v>32</v>
      </c>
      <c r="H14" s="5" t="s">
        <v>27</v>
      </c>
      <c r="I14" s="5">
        <v>6</v>
      </c>
      <c r="J14" s="5"/>
      <c r="K14" s="5">
        <v>18.3</v>
      </c>
      <c r="L14" s="6">
        <v>9</v>
      </c>
      <c r="M14" s="5"/>
      <c r="N14" s="5">
        <v>0</v>
      </c>
      <c r="O14" s="5">
        <v>0</v>
      </c>
      <c r="P14" s="5" t="s">
        <v>58</v>
      </c>
      <c r="Q14" s="6">
        <f>0.5</f>
        <v>0.5</v>
      </c>
      <c r="R14" s="6" t="s">
        <v>162</v>
      </c>
      <c r="S14" s="6">
        <f>((G14/1000)+(0.05*(T14-10))+0.5+0.2+0.2)</f>
        <v>4.682</v>
      </c>
      <c r="T14" s="6">
        <v>85</v>
      </c>
      <c r="U14" s="6">
        <f t="shared" si="0"/>
        <v>5.182</v>
      </c>
      <c r="V14" s="6">
        <f t="shared" si="1"/>
        <v>3.8179999999999996</v>
      </c>
      <c r="W14" s="6">
        <v>0.9319999999999999</v>
      </c>
      <c r="X14" s="6">
        <v>1.432</v>
      </c>
      <c r="Y14" s="6">
        <v>7.568</v>
      </c>
      <c r="Z14" s="11" t="s">
        <v>225</v>
      </c>
    </row>
    <row r="15" spans="1:26" ht="60">
      <c r="A15" s="4">
        <v>6</v>
      </c>
      <c r="B15" s="4" t="s">
        <v>78</v>
      </c>
      <c r="C15" s="5" t="s">
        <v>48</v>
      </c>
      <c r="D15" s="5" t="s">
        <v>147</v>
      </c>
      <c r="E15" s="5" t="s">
        <v>25</v>
      </c>
      <c r="F15" s="5" t="s">
        <v>155</v>
      </c>
      <c r="G15" s="5">
        <v>0.5</v>
      </c>
      <c r="H15" s="5" t="s">
        <v>27</v>
      </c>
      <c r="I15" s="5">
        <v>2</v>
      </c>
      <c r="J15" s="5"/>
      <c r="K15" s="5">
        <v>11</v>
      </c>
      <c r="L15" s="6">
        <v>8.97</v>
      </c>
      <c r="M15" s="5"/>
      <c r="N15" s="5">
        <v>0</v>
      </c>
      <c r="O15" s="5">
        <v>0</v>
      </c>
      <c r="P15" s="5" t="s">
        <v>156</v>
      </c>
      <c r="Q15" s="6">
        <f>0.3+0.3</f>
        <v>0.6</v>
      </c>
      <c r="R15" s="6" t="s">
        <v>157</v>
      </c>
      <c r="S15" s="6">
        <f>((0.05*(T15-10))+0.2)</f>
        <v>3.9475000000000007</v>
      </c>
      <c r="T15" s="6">
        <v>84.95</v>
      </c>
      <c r="U15" s="6">
        <f t="shared" si="0"/>
        <v>4.5475</v>
      </c>
      <c r="V15" s="6">
        <f t="shared" si="1"/>
        <v>4.4225</v>
      </c>
      <c r="W15" s="6">
        <v>0.2</v>
      </c>
      <c r="X15" s="6">
        <v>0.8</v>
      </c>
      <c r="Y15" s="6">
        <v>8.17</v>
      </c>
      <c r="Z15" s="11" t="s">
        <v>225</v>
      </c>
    </row>
    <row r="16" spans="1:26" ht="60">
      <c r="A16" s="4">
        <v>6</v>
      </c>
      <c r="B16" s="4" t="s">
        <v>78</v>
      </c>
      <c r="C16" s="5" t="s">
        <v>48</v>
      </c>
      <c r="D16" s="5" t="s">
        <v>147</v>
      </c>
      <c r="E16" s="5" t="s">
        <v>25</v>
      </c>
      <c r="F16" s="5" t="s">
        <v>158</v>
      </c>
      <c r="G16" s="5">
        <v>0.5</v>
      </c>
      <c r="H16" s="5" t="s">
        <v>27</v>
      </c>
      <c r="I16" s="5">
        <v>4</v>
      </c>
      <c r="J16" s="5"/>
      <c r="K16" s="5">
        <v>9.72</v>
      </c>
      <c r="L16" s="6">
        <v>9.72</v>
      </c>
      <c r="M16" s="5"/>
      <c r="N16" s="5">
        <v>0</v>
      </c>
      <c r="O16" s="5">
        <v>0</v>
      </c>
      <c r="P16" s="5" t="s">
        <v>159</v>
      </c>
      <c r="Q16" s="6">
        <f>0.3+0.3</f>
        <v>0.6</v>
      </c>
      <c r="R16" s="6" t="s">
        <v>106</v>
      </c>
      <c r="S16" s="6">
        <f>(0.05*(T16-10))</f>
        <v>3.7475000000000005</v>
      </c>
      <c r="T16" s="6">
        <v>84.95</v>
      </c>
      <c r="U16" s="6">
        <f t="shared" si="0"/>
        <v>4.3475</v>
      </c>
      <c r="V16" s="6">
        <f t="shared" si="1"/>
        <v>5.3725000000000005</v>
      </c>
      <c r="W16" s="6">
        <v>0</v>
      </c>
      <c r="X16" s="6">
        <v>0.6</v>
      </c>
      <c r="Y16" s="6">
        <v>9.12</v>
      </c>
      <c r="Z16" s="11" t="s">
        <v>225</v>
      </c>
    </row>
    <row r="17" ht="12.75">
      <c r="Z17" s="8"/>
    </row>
    <row r="18" ht="12.75">
      <c r="Z18" s="8"/>
    </row>
    <row r="19" ht="12.75">
      <c r="Z19" s="8"/>
    </row>
    <row r="20" ht="12.75">
      <c r="Z20" s="8"/>
    </row>
    <row r="21" ht="12.75">
      <c r="Z21" s="8"/>
    </row>
    <row r="22" ht="12.75">
      <c r="Z22" s="8"/>
    </row>
    <row r="23" ht="12.75">
      <c r="Z23" s="8"/>
    </row>
    <row r="24" ht="12.75">
      <c r="Z24" s="8"/>
    </row>
    <row r="25" ht="12.75">
      <c r="Z25" s="8"/>
    </row>
    <row r="26" ht="12.75">
      <c r="Z26" s="8"/>
    </row>
    <row r="27" ht="12.75">
      <c r="Z27" s="8"/>
    </row>
    <row r="28" ht="12.75">
      <c r="Z28" s="8"/>
    </row>
    <row r="29" ht="12.75">
      <c r="Z29" s="8"/>
    </row>
    <row r="30" ht="12.75">
      <c r="Z30" s="8"/>
    </row>
    <row r="31" ht="12.75">
      <c r="Z31" s="8"/>
    </row>
    <row r="32" ht="12.75">
      <c r="Z32" s="8"/>
    </row>
    <row r="33" ht="12.75">
      <c r="Z33" s="8"/>
    </row>
    <row r="34" ht="12.75">
      <c r="Z34" s="8"/>
    </row>
    <row r="35" ht="12.75">
      <c r="Z35" s="8"/>
    </row>
    <row r="36" ht="12.75">
      <c r="Z36" s="8"/>
    </row>
    <row r="37" ht="12.75">
      <c r="Z37" s="8"/>
    </row>
    <row r="38" ht="12.75">
      <c r="Z38" s="8"/>
    </row>
    <row r="39" ht="12.75">
      <c r="Z39" s="8"/>
    </row>
    <row r="40" ht="12.75">
      <c r="Z40" s="8"/>
    </row>
    <row r="41" ht="12.75">
      <c r="Z41" s="8"/>
    </row>
    <row r="42" ht="12.75">
      <c r="Z42" s="8"/>
    </row>
  </sheetData>
  <mergeCells count="1">
    <mergeCell ref="W1:Y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Z90"/>
  <sheetViews>
    <sheetView showZeros="0" zoomScale="70" zoomScaleNormal="70" workbookViewId="0" topLeftCell="A1">
      <pane xSplit="2" ySplit="2" topLeftCell="M3" activePane="bottomRight" state="frozen"/>
      <selection pane="topLeft" activeCell="AA6" sqref="AA6"/>
      <selection pane="topRight" activeCell="AA6" sqref="AA6"/>
      <selection pane="bottomLeft" activeCell="AA6" sqref="AA6"/>
      <selection pane="bottomRight" activeCell="W3" sqref="W3:Y3"/>
    </sheetView>
  </sheetViews>
  <sheetFormatPr defaultColWidth="9.140625" defaultRowHeight="12.75"/>
  <cols>
    <col min="1" max="1" width="10.140625" style="0" customWidth="1"/>
    <col min="2" max="25" width="15.7109375" style="0" customWidth="1"/>
    <col min="26" max="26" width="15.7109375" style="9" customWidth="1"/>
  </cols>
  <sheetData>
    <row r="1" spans="1:2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5" t="s">
        <v>224</v>
      </c>
      <c r="X1" s="15"/>
      <c r="Y1" s="15"/>
      <c r="Z1" s="7"/>
    </row>
    <row r="2" spans="1:26" s="3" customFormat="1" ht="63.7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12" t="s">
        <v>18</v>
      </c>
      <c r="X2" s="12" t="s">
        <v>20</v>
      </c>
      <c r="Y2" s="12" t="s">
        <v>21</v>
      </c>
      <c r="Z2" s="10" t="s">
        <v>223</v>
      </c>
    </row>
    <row r="3" spans="1:26" ht="36">
      <c r="A3" s="4">
        <v>7</v>
      </c>
      <c r="B3" s="4" t="s">
        <v>163</v>
      </c>
      <c r="C3" s="5" t="s">
        <v>48</v>
      </c>
      <c r="D3" s="5" t="s">
        <v>124</v>
      </c>
      <c r="E3" s="5" t="s">
        <v>124</v>
      </c>
      <c r="F3" s="5" t="s">
        <v>182</v>
      </c>
      <c r="G3" s="5"/>
      <c r="H3" s="5" t="s">
        <v>27</v>
      </c>
      <c r="I3" s="5">
        <v>0</v>
      </c>
      <c r="J3" s="5">
        <v>0</v>
      </c>
      <c r="K3" s="5"/>
      <c r="L3" s="6">
        <v>2.57</v>
      </c>
      <c r="M3" s="5"/>
      <c r="N3" s="5">
        <v>0.22</v>
      </c>
      <c r="O3" s="5">
        <v>0.22</v>
      </c>
      <c r="P3" s="5" t="s">
        <v>58</v>
      </c>
      <c r="Q3" s="6">
        <f>0.5</f>
        <v>0.5</v>
      </c>
      <c r="R3" s="6" t="s">
        <v>164</v>
      </c>
      <c r="S3" s="6">
        <v>2</v>
      </c>
      <c r="T3" s="6">
        <v>15</v>
      </c>
      <c r="U3" s="6">
        <f>Q3+S3</f>
        <v>2.5</v>
      </c>
      <c r="V3" s="6">
        <f>L3-U3</f>
        <v>0.06999999999999984</v>
      </c>
      <c r="W3" s="6">
        <v>2</v>
      </c>
      <c r="X3" s="6">
        <v>2.5</v>
      </c>
      <c r="Y3" s="6">
        <v>0.06999999999999984</v>
      </c>
      <c r="Z3" s="8" t="s">
        <v>225</v>
      </c>
    </row>
    <row r="4" spans="1:26" ht="60">
      <c r="A4" s="4">
        <v>7</v>
      </c>
      <c r="B4" s="4" t="s">
        <v>163</v>
      </c>
      <c r="C4" s="5" t="s">
        <v>48</v>
      </c>
      <c r="D4" s="5" t="s">
        <v>124</v>
      </c>
      <c r="E4" s="5" t="s">
        <v>51</v>
      </c>
      <c r="F4" s="5" t="s">
        <v>54</v>
      </c>
      <c r="G4" s="5" t="s">
        <v>165</v>
      </c>
      <c r="H4" s="5" t="s">
        <v>53</v>
      </c>
      <c r="I4" s="5">
        <v>24</v>
      </c>
      <c r="J4" s="5">
        <v>10</v>
      </c>
      <c r="K4" s="5">
        <v>6</v>
      </c>
      <c r="L4" s="6">
        <v>1</v>
      </c>
      <c r="M4" s="5"/>
      <c r="N4" s="5">
        <v>0.1</v>
      </c>
      <c r="O4" s="5">
        <v>1</v>
      </c>
      <c r="P4" s="5"/>
      <c r="Q4" s="6"/>
      <c r="R4" s="6" t="s">
        <v>198</v>
      </c>
      <c r="S4" s="6">
        <f>0.5+0.2</f>
        <v>0.7</v>
      </c>
      <c r="T4" s="6"/>
      <c r="U4" s="6">
        <f>Q4+S4</f>
        <v>0.7</v>
      </c>
      <c r="V4" s="6">
        <f>L4-U4</f>
        <v>0.30000000000000004</v>
      </c>
      <c r="W4" s="6">
        <v>0.7</v>
      </c>
      <c r="X4" s="6">
        <v>0.7</v>
      </c>
      <c r="Y4" s="6">
        <v>0.3</v>
      </c>
      <c r="Z4" s="11" t="s">
        <v>225</v>
      </c>
    </row>
    <row r="5" spans="1:26" ht="12.75">
      <c r="A5" s="4">
        <v>7</v>
      </c>
      <c r="B5" s="4" t="s">
        <v>163</v>
      </c>
      <c r="C5" s="5" t="s">
        <v>48</v>
      </c>
      <c r="D5" s="5" t="s">
        <v>124</v>
      </c>
      <c r="E5" s="5" t="s">
        <v>51</v>
      </c>
      <c r="F5" s="5" t="s">
        <v>50</v>
      </c>
      <c r="G5" s="5">
        <v>0.25</v>
      </c>
      <c r="H5" s="5" t="s">
        <v>27</v>
      </c>
      <c r="I5" s="5">
        <v>12</v>
      </c>
      <c r="J5" s="5">
        <v>11</v>
      </c>
      <c r="K5" s="5">
        <v>0.01</v>
      </c>
      <c r="L5" s="6">
        <v>0.49</v>
      </c>
      <c r="M5" s="5"/>
      <c r="N5" s="5">
        <v>0.01</v>
      </c>
      <c r="O5" s="5">
        <v>0.01</v>
      </c>
      <c r="P5" s="5"/>
      <c r="Q5" s="6"/>
      <c r="R5" s="6"/>
      <c r="S5" s="6"/>
      <c r="T5" s="6">
        <v>0</v>
      </c>
      <c r="U5" s="6"/>
      <c r="V5" s="6">
        <f>L5</f>
        <v>0.49</v>
      </c>
      <c r="W5" s="6"/>
      <c r="X5" s="6"/>
      <c r="Y5" s="6">
        <v>0.49</v>
      </c>
      <c r="Z5" s="11" t="s">
        <v>225</v>
      </c>
    </row>
    <row r="6" spans="1:26" ht="12.75">
      <c r="A6" s="4">
        <v>7</v>
      </c>
      <c r="B6" s="4" t="s">
        <v>163</v>
      </c>
      <c r="C6" s="5" t="s">
        <v>48</v>
      </c>
      <c r="D6" s="5" t="s">
        <v>124</v>
      </c>
      <c r="E6" s="5" t="s">
        <v>51</v>
      </c>
      <c r="F6" s="5" t="s">
        <v>50</v>
      </c>
      <c r="G6" s="5">
        <v>2</v>
      </c>
      <c r="H6" s="5" t="s">
        <v>27</v>
      </c>
      <c r="I6" s="5">
        <v>12</v>
      </c>
      <c r="J6" s="5">
        <v>11</v>
      </c>
      <c r="K6" s="5">
        <v>0.35</v>
      </c>
      <c r="L6" s="6">
        <v>0.49</v>
      </c>
      <c r="M6" s="5"/>
      <c r="N6" s="5">
        <v>0.35</v>
      </c>
      <c r="O6" s="5">
        <v>0.35</v>
      </c>
      <c r="P6" s="5"/>
      <c r="Q6" s="6"/>
      <c r="R6" s="6"/>
      <c r="S6" s="6"/>
      <c r="T6" s="6">
        <v>0</v>
      </c>
      <c r="U6" s="6"/>
      <c r="V6" s="6">
        <f>L6</f>
        <v>0.49</v>
      </c>
      <c r="W6" s="6"/>
      <c r="X6" s="6"/>
      <c r="Y6" s="6">
        <v>0.49</v>
      </c>
      <c r="Z6" s="11" t="s">
        <v>225</v>
      </c>
    </row>
    <row r="7" spans="1:26" ht="48">
      <c r="A7" s="4">
        <v>7</v>
      </c>
      <c r="B7" s="4" t="s">
        <v>163</v>
      </c>
      <c r="C7" s="5" t="s">
        <v>48</v>
      </c>
      <c r="D7" s="5" t="s">
        <v>124</v>
      </c>
      <c r="E7" s="5" t="s">
        <v>51</v>
      </c>
      <c r="F7" s="5" t="s">
        <v>191</v>
      </c>
      <c r="G7" s="5">
        <v>32</v>
      </c>
      <c r="H7" s="5" t="s">
        <v>53</v>
      </c>
      <c r="I7" s="5">
        <v>120</v>
      </c>
      <c r="J7" s="5">
        <v>60</v>
      </c>
      <c r="K7" s="5">
        <v>28.9</v>
      </c>
      <c r="L7" s="6">
        <v>2.9</v>
      </c>
      <c r="M7" s="5"/>
      <c r="N7" s="5">
        <v>0.74</v>
      </c>
      <c r="O7" s="5">
        <v>0.74</v>
      </c>
      <c r="P7" s="5" t="s">
        <v>58</v>
      </c>
      <c r="Q7" s="6">
        <f>0.5</f>
        <v>0.5</v>
      </c>
      <c r="R7" s="6" t="s">
        <v>192</v>
      </c>
      <c r="S7" s="6">
        <f>((G7/1000)-0.5+2)</f>
        <v>1.532</v>
      </c>
      <c r="T7" s="6">
        <v>60</v>
      </c>
      <c r="U7" s="6">
        <f aca="true" t="shared" si="0" ref="U7:U54">Q7+S7</f>
        <v>2.032</v>
      </c>
      <c r="V7" s="6">
        <f aca="true" t="shared" si="1" ref="V7:V54">L7-U7</f>
        <v>0.8679999999999999</v>
      </c>
      <c r="W7" s="6">
        <v>1.532</v>
      </c>
      <c r="X7" s="6">
        <v>2.032</v>
      </c>
      <c r="Y7" s="6">
        <v>0.8679999999999999</v>
      </c>
      <c r="Z7" s="11" t="s">
        <v>225</v>
      </c>
    </row>
    <row r="8" spans="1:26" ht="48">
      <c r="A8" s="4">
        <v>7</v>
      </c>
      <c r="B8" s="4" t="s">
        <v>163</v>
      </c>
      <c r="C8" s="5" t="s">
        <v>48</v>
      </c>
      <c r="D8" s="5" t="s">
        <v>124</v>
      </c>
      <c r="E8" s="5" t="s">
        <v>51</v>
      </c>
      <c r="F8" s="5" t="s">
        <v>191</v>
      </c>
      <c r="G8" s="5">
        <v>32</v>
      </c>
      <c r="H8" s="5" t="s">
        <v>53</v>
      </c>
      <c r="I8" s="5">
        <v>120</v>
      </c>
      <c r="J8" s="5">
        <v>60</v>
      </c>
      <c r="K8" s="5">
        <v>28.9</v>
      </c>
      <c r="L8" s="6">
        <v>2.9</v>
      </c>
      <c r="M8" s="5"/>
      <c r="N8" s="5">
        <v>0.74</v>
      </c>
      <c r="O8" s="5">
        <v>0.74</v>
      </c>
      <c r="P8" s="5" t="s">
        <v>58</v>
      </c>
      <c r="Q8" s="6">
        <f>0.5</f>
        <v>0.5</v>
      </c>
      <c r="R8" s="6" t="s">
        <v>192</v>
      </c>
      <c r="S8" s="6">
        <f>((G8/1000)-0.5+2)</f>
        <v>1.532</v>
      </c>
      <c r="T8" s="6">
        <v>60</v>
      </c>
      <c r="U8" s="6">
        <f t="shared" si="0"/>
        <v>2.032</v>
      </c>
      <c r="V8" s="6">
        <f t="shared" si="1"/>
        <v>0.8679999999999999</v>
      </c>
      <c r="W8" s="6">
        <v>1.532</v>
      </c>
      <c r="X8" s="6">
        <v>2.032</v>
      </c>
      <c r="Y8" s="6">
        <v>0.8679999999999999</v>
      </c>
      <c r="Z8" s="11" t="s">
        <v>225</v>
      </c>
    </row>
    <row r="9" spans="1:26" ht="36">
      <c r="A9" s="4">
        <v>7</v>
      </c>
      <c r="B9" s="4" t="s">
        <v>163</v>
      </c>
      <c r="C9" s="5" t="s">
        <v>48</v>
      </c>
      <c r="D9" s="5" t="s">
        <v>124</v>
      </c>
      <c r="E9" s="5" t="s">
        <v>51</v>
      </c>
      <c r="F9" s="5" t="s">
        <v>57</v>
      </c>
      <c r="G9" s="5" t="s">
        <v>178</v>
      </c>
      <c r="H9" s="5" t="s">
        <v>27</v>
      </c>
      <c r="I9" s="5">
        <v>8</v>
      </c>
      <c r="J9" s="5">
        <v>8</v>
      </c>
      <c r="K9" s="5">
        <v>14</v>
      </c>
      <c r="L9" s="6">
        <v>3.4</v>
      </c>
      <c r="M9" s="5"/>
      <c r="N9" s="5">
        <v>0.2</v>
      </c>
      <c r="O9" s="5">
        <v>0.2</v>
      </c>
      <c r="P9" s="5" t="s">
        <v>58</v>
      </c>
      <c r="Q9" s="6">
        <f>0.5</f>
        <v>0.5</v>
      </c>
      <c r="R9" s="6" t="s">
        <v>164</v>
      </c>
      <c r="S9" s="6">
        <v>2</v>
      </c>
      <c r="T9" s="6">
        <v>20.25</v>
      </c>
      <c r="U9" s="6">
        <f t="shared" si="0"/>
        <v>2.5</v>
      </c>
      <c r="V9" s="6">
        <f t="shared" si="1"/>
        <v>0.8999999999999999</v>
      </c>
      <c r="W9" s="6">
        <v>2</v>
      </c>
      <c r="X9" s="6">
        <v>2.5</v>
      </c>
      <c r="Y9" s="6">
        <v>0.9</v>
      </c>
      <c r="Z9" s="11" t="s">
        <v>225</v>
      </c>
    </row>
    <row r="10" spans="1:26" ht="72">
      <c r="A10" s="4">
        <v>7</v>
      </c>
      <c r="B10" s="4" t="s">
        <v>163</v>
      </c>
      <c r="C10" s="5" t="s">
        <v>23</v>
      </c>
      <c r="D10" s="5" t="s">
        <v>124</v>
      </c>
      <c r="E10" s="5" t="s">
        <v>51</v>
      </c>
      <c r="F10" s="5" t="s">
        <v>186</v>
      </c>
      <c r="G10" s="5">
        <v>3072</v>
      </c>
      <c r="H10" s="5" t="s">
        <v>27</v>
      </c>
      <c r="I10" s="5">
        <v>12.5</v>
      </c>
      <c r="J10" s="5">
        <v>12.5</v>
      </c>
      <c r="K10" s="5">
        <v>115</v>
      </c>
      <c r="L10" s="6">
        <v>6</v>
      </c>
      <c r="M10" s="5"/>
      <c r="N10" s="5">
        <v>0</v>
      </c>
      <c r="O10" s="5">
        <v>6</v>
      </c>
      <c r="P10" s="5" t="s">
        <v>115</v>
      </c>
      <c r="Q10" s="6">
        <v>1.5</v>
      </c>
      <c r="R10" s="6" t="s">
        <v>68</v>
      </c>
      <c r="S10" s="6">
        <f>((G10/1000)+(0.05*(T10-10))+0.5)</f>
        <v>23.072</v>
      </c>
      <c r="T10" s="6">
        <v>400</v>
      </c>
      <c r="U10" s="6">
        <f t="shared" si="0"/>
        <v>24.572</v>
      </c>
      <c r="V10" s="6">
        <f t="shared" si="1"/>
        <v>-18.572</v>
      </c>
      <c r="W10" s="6">
        <v>3.572</v>
      </c>
      <c r="X10" s="6">
        <v>5.072</v>
      </c>
      <c r="Y10" s="6">
        <v>0.9279999999999999</v>
      </c>
      <c r="Z10" s="11" t="s">
        <v>226</v>
      </c>
    </row>
    <row r="11" spans="1:26" ht="84">
      <c r="A11" s="4">
        <v>7</v>
      </c>
      <c r="B11" s="4" t="s">
        <v>163</v>
      </c>
      <c r="C11" s="5" t="s">
        <v>23</v>
      </c>
      <c r="D11" s="5" t="s">
        <v>124</v>
      </c>
      <c r="E11" s="5" t="s">
        <v>51</v>
      </c>
      <c r="F11" s="5" t="s">
        <v>187</v>
      </c>
      <c r="G11" s="5">
        <v>3072</v>
      </c>
      <c r="H11" s="5" t="s">
        <v>27</v>
      </c>
      <c r="I11" s="5">
        <v>8</v>
      </c>
      <c r="J11" s="5">
        <v>8</v>
      </c>
      <c r="K11" s="5">
        <v>120</v>
      </c>
      <c r="L11" s="6">
        <v>6</v>
      </c>
      <c r="M11" s="5"/>
      <c r="N11" s="5">
        <v>0</v>
      </c>
      <c r="O11" s="5">
        <v>6</v>
      </c>
      <c r="P11" s="5" t="s">
        <v>115</v>
      </c>
      <c r="Q11" s="6">
        <v>1.5</v>
      </c>
      <c r="R11" s="6" t="s">
        <v>188</v>
      </c>
      <c r="S11" s="6">
        <f>((G11/1000)+(0.05*(T11-10))+0.5)</f>
        <v>23.072</v>
      </c>
      <c r="T11" s="6">
        <v>400</v>
      </c>
      <c r="U11" s="6">
        <f t="shared" si="0"/>
        <v>24.572</v>
      </c>
      <c r="V11" s="6">
        <f t="shared" si="1"/>
        <v>-18.572</v>
      </c>
      <c r="W11" s="6">
        <v>3.572</v>
      </c>
      <c r="X11" s="6">
        <v>5.072</v>
      </c>
      <c r="Y11" s="6">
        <v>0.9279999999999999</v>
      </c>
      <c r="Z11" s="11" t="s">
        <v>226</v>
      </c>
    </row>
    <row r="12" spans="1:26" ht="48">
      <c r="A12" s="4">
        <v>7</v>
      </c>
      <c r="B12" s="4" t="s">
        <v>163</v>
      </c>
      <c r="C12" s="5" t="s">
        <v>48</v>
      </c>
      <c r="D12" s="5" t="s">
        <v>124</v>
      </c>
      <c r="E12" s="5" t="s">
        <v>51</v>
      </c>
      <c r="F12" s="5" t="s">
        <v>193</v>
      </c>
      <c r="G12" s="5">
        <v>256</v>
      </c>
      <c r="H12" s="5" t="s">
        <v>53</v>
      </c>
      <c r="I12" s="5">
        <v>150</v>
      </c>
      <c r="J12" s="5">
        <v>150</v>
      </c>
      <c r="K12" s="5">
        <v>41</v>
      </c>
      <c r="L12" s="6">
        <v>3.34</v>
      </c>
      <c r="M12" s="5"/>
      <c r="N12" s="5">
        <v>0.58</v>
      </c>
      <c r="O12" s="5">
        <v>0.58</v>
      </c>
      <c r="P12" s="5" t="s">
        <v>58</v>
      </c>
      <c r="Q12" s="6">
        <f aca="true" t="shared" si="2" ref="Q12:Q36">0.5</f>
        <v>0.5</v>
      </c>
      <c r="R12" s="6" t="s">
        <v>192</v>
      </c>
      <c r="S12" s="6">
        <f>((G12/1000)-0.5+2)</f>
        <v>1.756</v>
      </c>
      <c r="T12" s="6"/>
      <c r="U12" s="6">
        <f t="shared" si="0"/>
        <v>2.2560000000000002</v>
      </c>
      <c r="V12" s="6">
        <f t="shared" si="1"/>
        <v>1.0839999999999996</v>
      </c>
      <c r="W12" s="6">
        <v>1.756</v>
      </c>
      <c r="X12" s="6">
        <v>2.2560000000000002</v>
      </c>
      <c r="Y12" s="6">
        <v>1.0839999999999996</v>
      </c>
      <c r="Z12" s="11" t="s">
        <v>225</v>
      </c>
    </row>
    <row r="13" spans="1:26" ht="36">
      <c r="A13" s="4">
        <v>7</v>
      </c>
      <c r="B13" s="4" t="s">
        <v>163</v>
      </c>
      <c r="C13" s="5" t="s">
        <v>48</v>
      </c>
      <c r="D13" s="5" t="s">
        <v>124</v>
      </c>
      <c r="E13" s="5" t="s">
        <v>51</v>
      </c>
      <c r="F13" s="5" t="s">
        <v>50</v>
      </c>
      <c r="G13" s="5">
        <v>0.1</v>
      </c>
      <c r="H13" s="5" t="s">
        <v>27</v>
      </c>
      <c r="I13" s="5">
        <v>2</v>
      </c>
      <c r="J13" s="5">
        <v>2</v>
      </c>
      <c r="K13" s="5">
        <v>8.3</v>
      </c>
      <c r="L13" s="6">
        <v>3.6</v>
      </c>
      <c r="M13" s="5"/>
      <c r="N13" s="5">
        <v>0.23</v>
      </c>
      <c r="O13" s="5">
        <v>0.23</v>
      </c>
      <c r="P13" s="5" t="s">
        <v>58</v>
      </c>
      <c r="Q13" s="6">
        <f t="shared" si="2"/>
        <v>0.5</v>
      </c>
      <c r="R13" s="6" t="s">
        <v>164</v>
      </c>
      <c r="S13" s="6">
        <v>2</v>
      </c>
      <c r="T13" s="6">
        <v>15</v>
      </c>
      <c r="U13" s="6">
        <f t="shared" si="0"/>
        <v>2.5</v>
      </c>
      <c r="V13" s="6">
        <f t="shared" si="1"/>
        <v>1.1</v>
      </c>
      <c r="W13" s="6">
        <v>2</v>
      </c>
      <c r="X13" s="6">
        <v>2.5</v>
      </c>
      <c r="Y13" s="6">
        <v>1.1</v>
      </c>
      <c r="Z13" s="11" t="s">
        <v>225</v>
      </c>
    </row>
    <row r="14" spans="1:26" ht="36">
      <c r="A14" s="4">
        <v>7</v>
      </c>
      <c r="B14" s="4" t="s">
        <v>163</v>
      </c>
      <c r="C14" s="5" t="s">
        <v>48</v>
      </c>
      <c r="D14" s="5" t="s">
        <v>124</v>
      </c>
      <c r="E14" s="5" t="s">
        <v>124</v>
      </c>
      <c r="F14" s="5" t="s">
        <v>183</v>
      </c>
      <c r="G14" s="5"/>
      <c r="H14" s="5" t="s">
        <v>27</v>
      </c>
      <c r="I14" s="5">
        <v>0</v>
      </c>
      <c r="J14" s="5">
        <v>0</v>
      </c>
      <c r="K14" s="5"/>
      <c r="L14" s="6">
        <v>4</v>
      </c>
      <c r="M14" s="5"/>
      <c r="N14" s="5">
        <v>0.21</v>
      </c>
      <c r="O14" s="5">
        <v>0.21</v>
      </c>
      <c r="P14" s="5" t="s">
        <v>58</v>
      </c>
      <c r="Q14" s="6">
        <f t="shared" si="2"/>
        <v>0.5</v>
      </c>
      <c r="R14" s="6" t="s">
        <v>164</v>
      </c>
      <c r="S14" s="6">
        <v>2</v>
      </c>
      <c r="T14" s="6">
        <v>36</v>
      </c>
      <c r="U14" s="6">
        <f t="shared" si="0"/>
        <v>2.5</v>
      </c>
      <c r="V14" s="6">
        <f t="shared" si="1"/>
        <v>1.5</v>
      </c>
      <c r="W14" s="6">
        <v>2</v>
      </c>
      <c r="X14" s="6">
        <v>2.5</v>
      </c>
      <c r="Y14" s="6">
        <v>1.5</v>
      </c>
      <c r="Z14" s="11" t="s">
        <v>225</v>
      </c>
    </row>
    <row r="15" spans="1:26" ht="36">
      <c r="A15" s="4">
        <v>7</v>
      </c>
      <c r="B15" s="4" t="s">
        <v>163</v>
      </c>
      <c r="C15" s="5" t="s">
        <v>48</v>
      </c>
      <c r="D15" s="5" t="s">
        <v>124</v>
      </c>
      <c r="E15" s="5" t="s">
        <v>124</v>
      </c>
      <c r="F15" s="5" t="s">
        <v>183</v>
      </c>
      <c r="G15" s="5"/>
      <c r="H15" s="5" t="s">
        <v>27</v>
      </c>
      <c r="I15" s="5">
        <v>0</v>
      </c>
      <c r="J15" s="5">
        <v>0</v>
      </c>
      <c r="K15" s="5"/>
      <c r="L15" s="6">
        <v>4</v>
      </c>
      <c r="M15" s="5"/>
      <c r="N15" s="5">
        <v>0.21</v>
      </c>
      <c r="O15" s="5">
        <v>0.21</v>
      </c>
      <c r="P15" s="5" t="s">
        <v>58</v>
      </c>
      <c r="Q15" s="6">
        <f t="shared" si="2"/>
        <v>0.5</v>
      </c>
      <c r="R15" s="6" t="s">
        <v>164</v>
      </c>
      <c r="S15" s="6">
        <v>2</v>
      </c>
      <c r="T15" s="6">
        <v>36</v>
      </c>
      <c r="U15" s="6">
        <f t="shared" si="0"/>
        <v>2.5</v>
      </c>
      <c r="V15" s="6">
        <f t="shared" si="1"/>
        <v>1.5</v>
      </c>
      <c r="W15" s="6">
        <v>2</v>
      </c>
      <c r="X15" s="6">
        <v>2.5</v>
      </c>
      <c r="Y15" s="6">
        <v>1.5</v>
      </c>
      <c r="Z15" s="11" t="s">
        <v>225</v>
      </c>
    </row>
    <row r="16" spans="1:26" ht="36">
      <c r="A16" s="4">
        <v>7</v>
      </c>
      <c r="B16" s="4" t="s">
        <v>163</v>
      </c>
      <c r="C16" s="5" t="s">
        <v>48</v>
      </c>
      <c r="D16" s="5" t="s">
        <v>124</v>
      </c>
      <c r="E16" s="5" t="s">
        <v>51</v>
      </c>
      <c r="F16" s="5" t="s">
        <v>69</v>
      </c>
      <c r="G16" s="5">
        <v>64</v>
      </c>
      <c r="H16" s="5" t="s">
        <v>27</v>
      </c>
      <c r="I16" s="5">
        <v>35</v>
      </c>
      <c r="J16" s="5">
        <v>35</v>
      </c>
      <c r="K16" s="5">
        <v>12.9</v>
      </c>
      <c r="L16" s="6">
        <v>4.01</v>
      </c>
      <c r="M16" s="5"/>
      <c r="N16" s="5">
        <v>0.09</v>
      </c>
      <c r="O16" s="5">
        <v>0.09</v>
      </c>
      <c r="P16" s="5" t="s">
        <v>58</v>
      </c>
      <c r="Q16" s="6">
        <f t="shared" si="2"/>
        <v>0.5</v>
      </c>
      <c r="R16" s="6" t="s">
        <v>164</v>
      </c>
      <c r="S16" s="6">
        <v>2</v>
      </c>
      <c r="T16" s="6">
        <v>30</v>
      </c>
      <c r="U16" s="6">
        <f t="shared" si="0"/>
        <v>2.5</v>
      </c>
      <c r="V16" s="6">
        <f t="shared" si="1"/>
        <v>1.5099999999999998</v>
      </c>
      <c r="W16" s="6">
        <v>2</v>
      </c>
      <c r="X16" s="6">
        <v>2.5</v>
      </c>
      <c r="Y16" s="6">
        <v>1.51</v>
      </c>
      <c r="Z16" s="11" t="s">
        <v>225</v>
      </c>
    </row>
    <row r="17" spans="1:26" ht="36">
      <c r="A17" s="4">
        <v>7</v>
      </c>
      <c r="B17" s="4" t="s">
        <v>163</v>
      </c>
      <c r="C17" s="5" t="s">
        <v>48</v>
      </c>
      <c r="D17" s="5" t="s">
        <v>124</v>
      </c>
      <c r="E17" s="5" t="s">
        <v>51</v>
      </c>
      <c r="F17" s="5" t="s">
        <v>69</v>
      </c>
      <c r="G17" s="5">
        <v>64</v>
      </c>
      <c r="H17" s="5" t="s">
        <v>27</v>
      </c>
      <c r="I17" s="5">
        <v>35</v>
      </c>
      <c r="J17" s="5">
        <v>35</v>
      </c>
      <c r="K17" s="5">
        <v>12.9</v>
      </c>
      <c r="L17" s="6">
        <v>4.01</v>
      </c>
      <c r="M17" s="5"/>
      <c r="N17" s="5">
        <v>0.09</v>
      </c>
      <c r="O17" s="5">
        <v>0.09</v>
      </c>
      <c r="P17" s="5" t="s">
        <v>58</v>
      </c>
      <c r="Q17" s="6">
        <f t="shared" si="2"/>
        <v>0.5</v>
      </c>
      <c r="R17" s="6" t="s">
        <v>164</v>
      </c>
      <c r="S17" s="6">
        <v>2</v>
      </c>
      <c r="T17" s="6">
        <v>30</v>
      </c>
      <c r="U17" s="6">
        <f t="shared" si="0"/>
        <v>2.5</v>
      </c>
      <c r="V17" s="6">
        <f t="shared" si="1"/>
        <v>1.5099999999999998</v>
      </c>
      <c r="W17" s="6">
        <v>2</v>
      </c>
      <c r="X17" s="6">
        <v>2.5</v>
      </c>
      <c r="Y17" s="6">
        <v>1.51</v>
      </c>
      <c r="Z17" s="11" t="s">
        <v>225</v>
      </c>
    </row>
    <row r="18" spans="1:26" ht="36">
      <c r="A18" s="4">
        <v>7</v>
      </c>
      <c r="B18" s="4" t="s">
        <v>163</v>
      </c>
      <c r="C18" s="5" t="s">
        <v>48</v>
      </c>
      <c r="D18" s="5" t="s">
        <v>124</v>
      </c>
      <c r="E18" s="5" t="s">
        <v>51</v>
      </c>
      <c r="F18" s="5" t="s">
        <v>69</v>
      </c>
      <c r="G18" s="5">
        <v>64</v>
      </c>
      <c r="H18" s="5" t="s">
        <v>27</v>
      </c>
      <c r="I18" s="5">
        <v>35</v>
      </c>
      <c r="J18" s="5">
        <v>35</v>
      </c>
      <c r="K18" s="5">
        <v>12.9</v>
      </c>
      <c r="L18" s="6">
        <v>4.01</v>
      </c>
      <c r="M18" s="5"/>
      <c r="N18" s="5">
        <v>0.09</v>
      </c>
      <c r="O18" s="5">
        <v>0.09</v>
      </c>
      <c r="P18" s="5" t="s">
        <v>58</v>
      </c>
      <c r="Q18" s="6">
        <f t="shared" si="2"/>
        <v>0.5</v>
      </c>
      <c r="R18" s="6" t="s">
        <v>164</v>
      </c>
      <c r="S18" s="6">
        <v>2</v>
      </c>
      <c r="T18" s="6">
        <v>30</v>
      </c>
      <c r="U18" s="6">
        <f t="shared" si="0"/>
        <v>2.5</v>
      </c>
      <c r="V18" s="6">
        <f t="shared" si="1"/>
        <v>1.5099999999999998</v>
      </c>
      <c r="W18" s="6">
        <v>2</v>
      </c>
      <c r="X18" s="6">
        <v>2.5</v>
      </c>
      <c r="Y18" s="6">
        <v>1.51</v>
      </c>
      <c r="Z18" s="11" t="s">
        <v>225</v>
      </c>
    </row>
    <row r="19" spans="1:26" ht="36">
      <c r="A19" s="4">
        <v>7</v>
      </c>
      <c r="B19" s="4" t="s">
        <v>163</v>
      </c>
      <c r="C19" s="5" t="s">
        <v>48</v>
      </c>
      <c r="D19" s="5" t="s">
        <v>124</v>
      </c>
      <c r="E19" s="5" t="s">
        <v>51</v>
      </c>
      <c r="F19" s="5" t="s">
        <v>69</v>
      </c>
      <c r="G19" s="5">
        <v>64</v>
      </c>
      <c r="H19" s="5" t="s">
        <v>27</v>
      </c>
      <c r="I19" s="5">
        <v>35</v>
      </c>
      <c r="J19" s="5">
        <v>35</v>
      </c>
      <c r="K19" s="5">
        <v>12.9</v>
      </c>
      <c r="L19" s="6">
        <v>4.01</v>
      </c>
      <c r="M19" s="5"/>
      <c r="N19" s="5">
        <v>0.09</v>
      </c>
      <c r="O19" s="5">
        <v>0.09</v>
      </c>
      <c r="P19" s="5" t="s">
        <v>58</v>
      </c>
      <c r="Q19" s="6">
        <f t="shared" si="2"/>
        <v>0.5</v>
      </c>
      <c r="R19" s="6" t="s">
        <v>164</v>
      </c>
      <c r="S19" s="6">
        <v>2</v>
      </c>
      <c r="T19" s="6">
        <v>30</v>
      </c>
      <c r="U19" s="6">
        <f t="shared" si="0"/>
        <v>2.5</v>
      </c>
      <c r="V19" s="6">
        <f t="shared" si="1"/>
        <v>1.5099999999999998</v>
      </c>
      <c r="W19" s="6">
        <v>2</v>
      </c>
      <c r="X19" s="6">
        <v>2.5</v>
      </c>
      <c r="Y19" s="6">
        <v>1.51</v>
      </c>
      <c r="Z19" s="11" t="s">
        <v>225</v>
      </c>
    </row>
    <row r="20" spans="1:26" ht="36">
      <c r="A20" s="4">
        <v>7</v>
      </c>
      <c r="B20" s="4" t="s">
        <v>163</v>
      </c>
      <c r="C20" s="5" t="s">
        <v>48</v>
      </c>
      <c r="D20" s="5" t="s">
        <v>124</v>
      </c>
      <c r="E20" s="5" t="s">
        <v>51</v>
      </c>
      <c r="F20" s="5" t="s">
        <v>69</v>
      </c>
      <c r="G20" s="5">
        <v>64</v>
      </c>
      <c r="H20" s="5" t="s">
        <v>27</v>
      </c>
      <c r="I20" s="5">
        <v>35</v>
      </c>
      <c r="J20" s="5">
        <v>35</v>
      </c>
      <c r="K20" s="5">
        <v>12.9</v>
      </c>
      <c r="L20" s="6">
        <v>4.01</v>
      </c>
      <c r="M20" s="5"/>
      <c r="N20" s="5">
        <v>0.09</v>
      </c>
      <c r="O20" s="5">
        <v>0.09</v>
      </c>
      <c r="P20" s="5" t="s">
        <v>58</v>
      </c>
      <c r="Q20" s="6">
        <f t="shared" si="2"/>
        <v>0.5</v>
      </c>
      <c r="R20" s="6" t="s">
        <v>164</v>
      </c>
      <c r="S20" s="6">
        <v>2</v>
      </c>
      <c r="T20" s="6">
        <v>30</v>
      </c>
      <c r="U20" s="6">
        <f t="shared" si="0"/>
        <v>2.5</v>
      </c>
      <c r="V20" s="6">
        <f t="shared" si="1"/>
        <v>1.5099999999999998</v>
      </c>
      <c r="W20" s="6">
        <v>2</v>
      </c>
      <c r="X20" s="6">
        <v>2.5</v>
      </c>
      <c r="Y20" s="6">
        <v>1.51</v>
      </c>
      <c r="Z20" s="11" t="s">
        <v>225</v>
      </c>
    </row>
    <row r="21" spans="1:26" ht="36">
      <c r="A21" s="4">
        <v>7</v>
      </c>
      <c r="B21" s="4" t="s">
        <v>163</v>
      </c>
      <c r="C21" s="5" t="s">
        <v>48</v>
      </c>
      <c r="D21" s="5" t="s">
        <v>124</v>
      </c>
      <c r="E21" s="5" t="s">
        <v>51</v>
      </c>
      <c r="F21" s="5" t="s">
        <v>69</v>
      </c>
      <c r="G21" s="5">
        <v>64</v>
      </c>
      <c r="H21" s="5" t="s">
        <v>27</v>
      </c>
      <c r="I21" s="5">
        <v>35</v>
      </c>
      <c r="J21" s="5">
        <v>35</v>
      </c>
      <c r="K21" s="5">
        <v>12.9</v>
      </c>
      <c r="L21" s="6">
        <v>4.01</v>
      </c>
      <c r="M21" s="5"/>
      <c r="N21" s="5">
        <v>0.09</v>
      </c>
      <c r="O21" s="5">
        <v>0.09</v>
      </c>
      <c r="P21" s="5" t="s">
        <v>58</v>
      </c>
      <c r="Q21" s="6">
        <f t="shared" si="2"/>
        <v>0.5</v>
      </c>
      <c r="R21" s="6" t="s">
        <v>164</v>
      </c>
      <c r="S21" s="6">
        <v>2</v>
      </c>
      <c r="T21" s="6">
        <v>30</v>
      </c>
      <c r="U21" s="6">
        <f t="shared" si="0"/>
        <v>2.5</v>
      </c>
      <c r="V21" s="6">
        <f t="shared" si="1"/>
        <v>1.5099999999999998</v>
      </c>
      <c r="W21" s="6">
        <v>2</v>
      </c>
      <c r="X21" s="6">
        <v>2.5</v>
      </c>
      <c r="Y21" s="6">
        <v>1.51</v>
      </c>
      <c r="Z21" s="11" t="s">
        <v>225</v>
      </c>
    </row>
    <row r="22" spans="1:26" ht="36">
      <c r="A22" s="4">
        <v>7</v>
      </c>
      <c r="B22" s="4" t="s">
        <v>163</v>
      </c>
      <c r="C22" s="5" t="s">
        <v>48</v>
      </c>
      <c r="D22" s="5" t="s">
        <v>124</v>
      </c>
      <c r="E22" s="5" t="s">
        <v>51</v>
      </c>
      <c r="F22" s="5" t="s">
        <v>69</v>
      </c>
      <c r="G22" s="5">
        <v>64</v>
      </c>
      <c r="H22" s="5" t="s">
        <v>27</v>
      </c>
      <c r="I22" s="5">
        <v>35</v>
      </c>
      <c r="J22" s="5">
        <v>35</v>
      </c>
      <c r="K22" s="5">
        <v>12.9</v>
      </c>
      <c r="L22" s="6">
        <v>4.01</v>
      </c>
      <c r="M22" s="5"/>
      <c r="N22" s="5">
        <v>0.09</v>
      </c>
      <c r="O22" s="5">
        <v>0.09</v>
      </c>
      <c r="P22" s="5" t="s">
        <v>58</v>
      </c>
      <c r="Q22" s="6">
        <f t="shared" si="2"/>
        <v>0.5</v>
      </c>
      <c r="R22" s="6" t="s">
        <v>164</v>
      </c>
      <c r="S22" s="6">
        <v>2</v>
      </c>
      <c r="T22" s="6">
        <v>30</v>
      </c>
      <c r="U22" s="6">
        <f t="shared" si="0"/>
        <v>2.5</v>
      </c>
      <c r="V22" s="6">
        <f t="shared" si="1"/>
        <v>1.5099999999999998</v>
      </c>
      <c r="W22" s="6">
        <v>2</v>
      </c>
      <c r="X22" s="6">
        <v>2.5</v>
      </c>
      <c r="Y22" s="6">
        <v>1.51</v>
      </c>
      <c r="Z22" s="11" t="s">
        <v>225</v>
      </c>
    </row>
    <row r="23" spans="1:26" ht="36">
      <c r="A23" s="4">
        <v>7</v>
      </c>
      <c r="B23" s="4" t="s">
        <v>163</v>
      </c>
      <c r="C23" s="5" t="s">
        <v>48</v>
      </c>
      <c r="D23" s="5" t="s">
        <v>124</v>
      </c>
      <c r="E23" s="5" t="s">
        <v>51</v>
      </c>
      <c r="F23" s="5" t="s">
        <v>69</v>
      </c>
      <c r="G23" s="5">
        <v>64</v>
      </c>
      <c r="H23" s="5" t="s">
        <v>27</v>
      </c>
      <c r="I23" s="5">
        <v>35</v>
      </c>
      <c r="J23" s="5">
        <v>35</v>
      </c>
      <c r="K23" s="5">
        <v>12.9</v>
      </c>
      <c r="L23" s="6">
        <v>4.01</v>
      </c>
      <c r="M23" s="5"/>
      <c r="N23" s="5">
        <v>0.09</v>
      </c>
      <c r="O23" s="5">
        <v>0.09</v>
      </c>
      <c r="P23" s="5" t="s">
        <v>58</v>
      </c>
      <c r="Q23" s="6">
        <f t="shared" si="2"/>
        <v>0.5</v>
      </c>
      <c r="R23" s="6" t="s">
        <v>164</v>
      </c>
      <c r="S23" s="6">
        <v>2</v>
      </c>
      <c r="T23" s="6">
        <v>30</v>
      </c>
      <c r="U23" s="6">
        <f t="shared" si="0"/>
        <v>2.5</v>
      </c>
      <c r="V23" s="6">
        <f t="shared" si="1"/>
        <v>1.5099999999999998</v>
      </c>
      <c r="W23" s="6">
        <v>2</v>
      </c>
      <c r="X23" s="6">
        <v>2.5</v>
      </c>
      <c r="Y23" s="6">
        <v>1.51</v>
      </c>
      <c r="Z23" s="11" t="s">
        <v>225</v>
      </c>
    </row>
    <row r="24" spans="1:26" ht="36">
      <c r="A24" s="4">
        <v>7</v>
      </c>
      <c r="B24" s="4" t="s">
        <v>163</v>
      </c>
      <c r="C24" s="5" t="s">
        <v>48</v>
      </c>
      <c r="D24" s="5" t="s">
        <v>124</v>
      </c>
      <c r="E24" s="5" t="s">
        <v>51</v>
      </c>
      <c r="F24" s="5" t="s">
        <v>69</v>
      </c>
      <c r="G24" s="5">
        <v>128</v>
      </c>
      <c r="H24" s="5" t="s">
        <v>27</v>
      </c>
      <c r="I24" s="5">
        <v>35</v>
      </c>
      <c r="J24" s="5">
        <v>35</v>
      </c>
      <c r="K24" s="5">
        <v>19.6</v>
      </c>
      <c r="L24" s="6">
        <v>4.3</v>
      </c>
      <c r="M24" s="5">
        <v>4.3</v>
      </c>
      <c r="N24" s="5">
        <v>0.1</v>
      </c>
      <c r="O24" s="5">
        <v>0.1</v>
      </c>
      <c r="P24" s="5" t="s">
        <v>58</v>
      </c>
      <c r="Q24" s="6">
        <f t="shared" si="2"/>
        <v>0.5</v>
      </c>
      <c r="R24" s="6" t="s">
        <v>164</v>
      </c>
      <c r="S24" s="6">
        <v>2</v>
      </c>
      <c r="T24" s="6">
        <v>36</v>
      </c>
      <c r="U24" s="6">
        <f t="shared" si="0"/>
        <v>2.5</v>
      </c>
      <c r="V24" s="6">
        <f t="shared" si="1"/>
        <v>1.7999999999999998</v>
      </c>
      <c r="W24" s="6">
        <v>2</v>
      </c>
      <c r="X24" s="6">
        <v>2.5</v>
      </c>
      <c r="Y24" s="6">
        <v>1.8</v>
      </c>
      <c r="Z24" s="11" t="s">
        <v>225</v>
      </c>
    </row>
    <row r="25" spans="1:26" ht="36">
      <c r="A25" s="4">
        <v>7</v>
      </c>
      <c r="B25" s="4" t="s">
        <v>163</v>
      </c>
      <c r="C25" s="5" t="s">
        <v>48</v>
      </c>
      <c r="D25" s="5" t="s">
        <v>124</v>
      </c>
      <c r="E25" s="5" t="s">
        <v>51</v>
      </c>
      <c r="F25" s="5" t="s">
        <v>69</v>
      </c>
      <c r="G25" s="5">
        <v>128</v>
      </c>
      <c r="H25" s="5" t="s">
        <v>27</v>
      </c>
      <c r="I25" s="5">
        <v>35</v>
      </c>
      <c r="J25" s="5">
        <v>35</v>
      </c>
      <c r="K25" s="5">
        <v>19.6</v>
      </c>
      <c r="L25" s="6">
        <v>4.3</v>
      </c>
      <c r="M25" s="5">
        <v>4.3</v>
      </c>
      <c r="N25" s="5">
        <v>0.1</v>
      </c>
      <c r="O25" s="5">
        <v>0.1</v>
      </c>
      <c r="P25" s="5" t="s">
        <v>58</v>
      </c>
      <c r="Q25" s="6">
        <f t="shared" si="2"/>
        <v>0.5</v>
      </c>
      <c r="R25" s="6" t="s">
        <v>164</v>
      </c>
      <c r="S25" s="6">
        <v>2</v>
      </c>
      <c r="T25" s="6">
        <v>36</v>
      </c>
      <c r="U25" s="6">
        <f t="shared" si="0"/>
        <v>2.5</v>
      </c>
      <c r="V25" s="6">
        <f t="shared" si="1"/>
        <v>1.7999999999999998</v>
      </c>
      <c r="W25" s="6">
        <v>2</v>
      </c>
      <c r="X25" s="6">
        <v>2.5</v>
      </c>
      <c r="Y25" s="6">
        <v>1.8</v>
      </c>
      <c r="Z25" s="11" t="s">
        <v>225</v>
      </c>
    </row>
    <row r="26" spans="1:26" ht="36">
      <c r="A26" s="4">
        <v>7</v>
      </c>
      <c r="B26" s="4" t="s">
        <v>163</v>
      </c>
      <c r="C26" s="5" t="s">
        <v>48</v>
      </c>
      <c r="D26" s="5" t="s">
        <v>124</v>
      </c>
      <c r="E26" s="5" t="s">
        <v>51</v>
      </c>
      <c r="F26" s="5" t="s">
        <v>69</v>
      </c>
      <c r="G26" s="5">
        <v>128</v>
      </c>
      <c r="H26" s="5" t="s">
        <v>27</v>
      </c>
      <c r="I26" s="5">
        <v>35</v>
      </c>
      <c r="J26" s="5">
        <v>35</v>
      </c>
      <c r="K26" s="5">
        <v>19.6</v>
      </c>
      <c r="L26" s="6">
        <v>4.3</v>
      </c>
      <c r="M26" s="5">
        <v>4.3</v>
      </c>
      <c r="N26" s="5">
        <v>0.1</v>
      </c>
      <c r="O26" s="5">
        <v>0.1</v>
      </c>
      <c r="P26" s="5" t="s">
        <v>58</v>
      </c>
      <c r="Q26" s="6">
        <f t="shared" si="2"/>
        <v>0.5</v>
      </c>
      <c r="R26" s="6" t="s">
        <v>164</v>
      </c>
      <c r="S26" s="6">
        <v>2</v>
      </c>
      <c r="T26" s="6">
        <v>36</v>
      </c>
      <c r="U26" s="6">
        <f t="shared" si="0"/>
        <v>2.5</v>
      </c>
      <c r="V26" s="6">
        <f t="shared" si="1"/>
        <v>1.7999999999999998</v>
      </c>
      <c r="W26" s="6">
        <v>2</v>
      </c>
      <c r="X26" s="6">
        <v>2.5</v>
      </c>
      <c r="Y26" s="6">
        <v>1.8</v>
      </c>
      <c r="Z26" s="11" t="s">
        <v>225</v>
      </c>
    </row>
    <row r="27" spans="1:26" ht="36">
      <c r="A27" s="4">
        <v>7</v>
      </c>
      <c r="B27" s="4" t="s">
        <v>163</v>
      </c>
      <c r="C27" s="5" t="s">
        <v>48</v>
      </c>
      <c r="D27" s="5" t="s">
        <v>124</v>
      </c>
      <c r="E27" s="5" t="s">
        <v>51</v>
      </c>
      <c r="F27" s="5" t="s">
        <v>69</v>
      </c>
      <c r="G27" s="5">
        <v>128</v>
      </c>
      <c r="H27" s="5" t="s">
        <v>27</v>
      </c>
      <c r="I27" s="5">
        <v>35</v>
      </c>
      <c r="J27" s="5">
        <v>35</v>
      </c>
      <c r="K27" s="5">
        <v>19.6</v>
      </c>
      <c r="L27" s="6">
        <v>4.3</v>
      </c>
      <c r="M27" s="5">
        <v>4.3</v>
      </c>
      <c r="N27" s="5">
        <v>0.1</v>
      </c>
      <c r="O27" s="5">
        <v>0.1</v>
      </c>
      <c r="P27" s="5" t="s">
        <v>58</v>
      </c>
      <c r="Q27" s="6">
        <f t="shared" si="2"/>
        <v>0.5</v>
      </c>
      <c r="R27" s="6" t="s">
        <v>164</v>
      </c>
      <c r="S27" s="6">
        <v>2</v>
      </c>
      <c r="T27" s="6">
        <v>36</v>
      </c>
      <c r="U27" s="6">
        <f t="shared" si="0"/>
        <v>2.5</v>
      </c>
      <c r="V27" s="6">
        <f t="shared" si="1"/>
        <v>1.7999999999999998</v>
      </c>
      <c r="W27" s="6">
        <v>2</v>
      </c>
      <c r="X27" s="6">
        <v>2.5</v>
      </c>
      <c r="Y27" s="6">
        <v>1.8</v>
      </c>
      <c r="Z27" s="11" t="s">
        <v>225</v>
      </c>
    </row>
    <row r="28" spans="1:26" ht="36">
      <c r="A28" s="4">
        <v>7</v>
      </c>
      <c r="B28" s="4" t="s">
        <v>163</v>
      </c>
      <c r="C28" s="5" t="s">
        <v>48</v>
      </c>
      <c r="D28" s="5" t="s">
        <v>124</v>
      </c>
      <c r="E28" s="5" t="s">
        <v>51</v>
      </c>
      <c r="F28" s="5" t="s">
        <v>69</v>
      </c>
      <c r="G28" s="5">
        <v>128</v>
      </c>
      <c r="H28" s="5" t="s">
        <v>27</v>
      </c>
      <c r="I28" s="5">
        <v>35</v>
      </c>
      <c r="J28" s="5">
        <v>35</v>
      </c>
      <c r="K28" s="5">
        <v>19.6</v>
      </c>
      <c r="L28" s="6">
        <v>4.3</v>
      </c>
      <c r="M28" s="5">
        <v>4.3</v>
      </c>
      <c r="N28" s="5">
        <v>0.1</v>
      </c>
      <c r="O28" s="5">
        <v>0.1</v>
      </c>
      <c r="P28" s="5" t="s">
        <v>58</v>
      </c>
      <c r="Q28" s="6">
        <f t="shared" si="2"/>
        <v>0.5</v>
      </c>
      <c r="R28" s="6" t="s">
        <v>164</v>
      </c>
      <c r="S28" s="6">
        <v>2</v>
      </c>
      <c r="T28" s="6">
        <v>36</v>
      </c>
      <c r="U28" s="6">
        <f t="shared" si="0"/>
        <v>2.5</v>
      </c>
      <c r="V28" s="6">
        <f t="shared" si="1"/>
        <v>1.7999999999999998</v>
      </c>
      <c r="W28" s="6">
        <v>2</v>
      </c>
      <c r="X28" s="6">
        <v>2.5</v>
      </c>
      <c r="Y28" s="6">
        <v>1.8</v>
      </c>
      <c r="Z28" s="11" t="s">
        <v>225</v>
      </c>
    </row>
    <row r="29" spans="1:26" ht="36">
      <c r="A29" s="4">
        <v>7</v>
      </c>
      <c r="B29" s="4" t="s">
        <v>163</v>
      </c>
      <c r="C29" s="5" t="s">
        <v>48</v>
      </c>
      <c r="D29" s="5" t="s">
        <v>124</v>
      </c>
      <c r="E29" s="5" t="s">
        <v>124</v>
      </c>
      <c r="F29" s="5" t="s">
        <v>184</v>
      </c>
      <c r="G29" s="5"/>
      <c r="H29" s="5" t="s">
        <v>27</v>
      </c>
      <c r="I29" s="5">
        <v>0</v>
      </c>
      <c r="J29" s="5">
        <v>0</v>
      </c>
      <c r="K29" s="5"/>
      <c r="L29" s="6">
        <v>4.3</v>
      </c>
      <c r="M29" s="5"/>
      <c r="N29" s="5">
        <v>0.14</v>
      </c>
      <c r="O29" s="5">
        <v>0.14</v>
      </c>
      <c r="P29" s="5" t="s">
        <v>58</v>
      </c>
      <c r="Q29" s="6">
        <f t="shared" si="2"/>
        <v>0.5</v>
      </c>
      <c r="R29" s="6" t="s">
        <v>164</v>
      </c>
      <c r="S29" s="6">
        <v>2</v>
      </c>
      <c r="T29" s="6">
        <v>50</v>
      </c>
      <c r="U29" s="6">
        <f t="shared" si="0"/>
        <v>2.5</v>
      </c>
      <c r="V29" s="6">
        <f t="shared" si="1"/>
        <v>1.7999999999999998</v>
      </c>
      <c r="W29" s="6">
        <v>2</v>
      </c>
      <c r="X29" s="6">
        <v>2.5</v>
      </c>
      <c r="Y29" s="6">
        <v>1.8</v>
      </c>
      <c r="Z29" s="11" t="s">
        <v>225</v>
      </c>
    </row>
    <row r="30" spans="1:26" ht="36">
      <c r="A30" s="4">
        <v>7</v>
      </c>
      <c r="B30" s="4" t="s">
        <v>163</v>
      </c>
      <c r="C30" s="5" t="s">
        <v>48</v>
      </c>
      <c r="D30" s="5" t="s">
        <v>124</v>
      </c>
      <c r="E30" s="5" t="s">
        <v>124</v>
      </c>
      <c r="F30" s="5" t="s">
        <v>184</v>
      </c>
      <c r="G30" s="5"/>
      <c r="H30" s="5" t="s">
        <v>27</v>
      </c>
      <c r="I30" s="5">
        <v>0</v>
      </c>
      <c r="J30" s="5">
        <v>0</v>
      </c>
      <c r="K30" s="5"/>
      <c r="L30" s="6">
        <v>4.3</v>
      </c>
      <c r="M30" s="5"/>
      <c r="N30" s="5">
        <v>0.14</v>
      </c>
      <c r="O30" s="5">
        <v>0.14</v>
      </c>
      <c r="P30" s="5" t="s">
        <v>58</v>
      </c>
      <c r="Q30" s="6">
        <f t="shared" si="2"/>
        <v>0.5</v>
      </c>
      <c r="R30" s="6" t="s">
        <v>164</v>
      </c>
      <c r="S30" s="6">
        <v>2</v>
      </c>
      <c r="T30" s="6">
        <v>50</v>
      </c>
      <c r="U30" s="6">
        <f t="shared" si="0"/>
        <v>2.5</v>
      </c>
      <c r="V30" s="6">
        <f t="shared" si="1"/>
        <v>1.7999999999999998</v>
      </c>
      <c r="W30" s="6">
        <v>2</v>
      </c>
      <c r="X30" s="6">
        <v>2.5</v>
      </c>
      <c r="Y30" s="6">
        <v>1.8</v>
      </c>
      <c r="Z30" s="11" t="s">
        <v>225</v>
      </c>
    </row>
    <row r="31" spans="1:26" ht="36">
      <c r="A31" s="4">
        <v>7</v>
      </c>
      <c r="B31" s="4" t="s">
        <v>163</v>
      </c>
      <c r="C31" s="5" t="s">
        <v>48</v>
      </c>
      <c r="D31" s="5" t="s">
        <v>124</v>
      </c>
      <c r="E31" s="5" t="s">
        <v>51</v>
      </c>
      <c r="F31" s="5" t="s">
        <v>69</v>
      </c>
      <c r="G31" s="5" t="s">
        <v>124</v>
      </c>
      <c r="H31" s="5" t="s">
        <v>27</v>
      </c>
      <c r="I31" s="5">
        <v>24</v>
      </c>
      <c r="J31" s="5">
        <v>48</v>
      </c>
      <c r="K31" s="5">
        <v>12.88</v>
      </c>
      <c r="L31" s="6">
        <v>4.42</v>
      </c>
      <c r="M31" s="5"/>
      <c r="N31" s="5">
        <v>0.11</v>
      </c>
      <c r="O31" s="5">
        <v>0.11</v>
      </c>
      <c r="P31" s="5" t="s">
        <v>58</v>
      </c>
      <c r="Q31" s="6">
        <f t="shared" si="2"/>
        <v>0.5</v>
      </c>
      <c r="R31" s="6" t="s">
        <v>164</v>
      </c>
      <c r="S31" s="6">
        <v>2</v>
      </c>
      <c r="T31" s="6">
        <v>48</v>
      </c>
      <c r="U31" s="6">
        <f t="shared" si="0"/>
        <v>2.5</v>
      </c>
      <c r="V31" s="6">
        <f t="shared" si="1"/>
        <v>1.92</v>
      </c>
      <c r="W31" s="6">
        <v>2</v>
      </c>
      <c r="X31" s="6">
        <v>2.5</v>
      </c>
      <c r="Y31" s="6">
        <v>1.92</v>
      </c>
      <c r="Z31" s="11" t="s">
        <v>227</v>
      </c>
    </row>
    <row r="32" spans="1:26" ht="36">
      <c r="A32" s="4">
        <v>7</v>
      </c>
      <c r="B32" s="4" t="s">
        <v>163</v>
      </c>
      <c r="C32" s="5" t="s">
        <v>48</v>
      </c>
      <c r="D32" s="5" t="s">
        <v>124</v>
      </c>
      <c r="E32" s="5" t="s">
        <v>51</v>
      </c>
      <c r="F32" s="5" t="s">
        <v>69</v>
      </c>
      <c r="G32" s="5" t="s">
        <v>124</v>
      </c>
      <c r="H32" s="5" t="s">
        <v>27</v>
      </c>
      <c r="I32" s="5">
        <v>24</v>
      </c>
      <c r="J32" s="5">
        <v>48</v>
      </c>
      <c r="K32" s="5">
        <v>12.88</v>
      </c>
      <c r="L32" s="6">
        <v>4.42</v>
      </c>
      <c r="M32" s="5"/>
      <c r="N32" s="5">
        <v>0.11</v>
      </c>
      <c r="O32" s="5">
        <v>0.11</v>
      </c>
      <c r="P32" s="5" t="s">
        <v>58</v>
      </c>
      <c r="Q32" s="6">
        <f t="shared" si="2"/>
        <v>0.5</v>
      </c>
      <c r="R32" s="6" t="s">
        <v>164</v>
      </c>
      <c r="S32" s="6">
        <v>2</v>
      </c>
      <c r="T32" s="6">
        <v>48</v>
      </c>
      <c r="U32" s="6">
        <f t="shared" si="0"/>
        <v>2.5</v>
      </c>
      <c r="V32" s="6">
        <f t="shared" si="1"/>
        <v>1.92</v>
      </c>
      <c r="W32" s="6">
        <v>2</v>
      </c>
      <c r="X32" s="6">
        <v>2.5</v>
      </c>
      <c r="Y32" s="6">
        <v>1.92</v>
      </c>
      <c r="Z32" s="11" t="s">
        <v>227</v>
      </c>
    </row>
    <row r="33" spans="1:26" ht="36">
      <c r="A33" s="4">
        <v>7</v>
      </c>
      <c r="B33" s="4" t="s">
        <v>163</v>
      </c>
      <c r="C33" s="5" t="s">
        <v>48</v>
      </c>
      <c r="D33" s="5" t="s">
        <v>124</v>
      </c>
      <c r="E33" s="5" t="s">
        <v>51</v>
      </c>
      <c r="F33" s="5" t="s">
        <v>69</v>
      </c>
      <c r="G33" s="5" t="s">
        <v>124</v>
      </c>
      <c r="H33" s="5" t="s">
        <v>27</v>
      </c>
      <c r="I33" s="5">
        <v>24</v>
      </c>
      <c r="J33" s="5">
        <v>48</v>
      </c>
      <c r="K33" s="5">
        <v>12.88</v>
      </c>
      <c r="L33" s="6">
        <v>4.42</v>
      </c>
      <c r="M33" s="5"/>
      <c r="N33" s="5">
        <v>0.11</v>
      </c>
      <c r="O33" s="5">
        <v>0.11</v>
      </c>
      <c r="P33" s="5" t="s">
        <v>58</v>
      </c>
      <c r="Q33" s="6">
        <f t="shared" si="2"/>
        <v>0.5</v>
      </c>
      <c r="R33" s="6" t="s">
        <v>164</v>
      </c>
      <c r="S33" s="6">
        <v>2</v>
      </c>
      <c r="T33" s="6">
        <v>48</v>
      </c>
      <c r="U33" s="6">
        <f t="shared" si="0"/>
        <v>2.5</v>
      </c>
      <c r="V33" s="6">
        <f t="shared" si="1"/>
        <v>1.92</v>
      </c>
      <c r="W33" s="6">
        <v>2</v>
      </c>
      <c r="X33" s="6">
        <v>2.5</v>
      </c>
      <c r="Y33" s="6">
        <v>1.92</v>
      </c>
      <c r="Z33" s="11" t="s">
        <v>227</v>
      </c>
    </row>
    <row r="34" spans="1:26" ht="36">
      <c r="A34" s="4">
        <v>7</v>
      </c>
      <c r="B34" s="4" t="s">
        <v>163</v>
      </c>
      <c r="C34" s="5" t="s">
        <v>48</v>
      </c>
      <c r="D34" s="5" t="s">
        <v>124</v>
      </c>
      <c r="E34" s="5" t="s">
        <v>51</v>
      </c>
      <c r="F34" s="5" t="s">
        <v>69</v>
      </c>
      <c r="G34" s="5" t="s">
        <v>124</v>
      </c>
      <c r="H34" s="5" t="s">
        <v>27</v>
      </c>
      <c r="I34" s="5">
        <v>24</v>
      </c>
      <c r="J34" s="5">
        <v>48</v>
      </c>
      <c r="K34" s="5">
        <v>12.88</v>
      </c>
      <c r="L34" s="6">
        <v>4.42</v>
      </c>
      <c r="M34" s="5"/>
      <c r="N34" s="5">
        <v>0.11</v>
      </c>
      <c r="O34" s="5">
        <v>0.11</v>
      </c>
      <c r="P34" s="5" t="s">
        <v>58</v>
      </c>
      <c r="Q34" s="6">
        <f t="shared" si="2"/>
        <v>0.5</v>
      </c>
      <c r="R34" s="6" t="s">
        <v>164</v>
      </c>
      <c r="S34" s="6">
        <v>2</v>
      </c>
      <c r="T34" s="6">
        <v>48</v>
      </c>
      <c r="U34" s="6">
        <f t="shared" si="0"/>
        <v>2.5</v>
      </c>
      <c r="V34" s="6">
        <f t="shared" si="1"/>
        <v>1.92</v>
      </c>
      <c r="W34" s="6">
        <v>2</v>
      </c>
      <c r="X34" s="6">
        <v>2.5</v>
      </c>
      <c r="Y34" s="6">
        <v>1.92</v>
      </c>
      <c r="Z34" s="11" t="s">
        <v>227</v>
      </c>
    </row>
    <row r="35" spans="1:26" ht="36">
      <c r="A35" s="4">
        <v>7</v>
      </c>
      <c r="B35" s="4" t="s">
        <v>163</v>
      </c>
      <c r="C35" s="5" t="s">
        <v>48</v>
      </c>
      <c r="D35" s="5" t="s">
        <v>124</v>
      </c>
      <c r="E35" s="5" t="s">
        <v>51</v>
      </c>
      <c r="F35" s="5" t="s">
        <v>69</v>
      </c>
      <c r="G35" s="5" t="s">
        <v>124</v>
      </c>
      <c r="H35" s="5" t="s">
        <v>27</v>
      </c>
      <c r="I35" s="5">
        <v>24</v>
      </c>
      <c r="J35" s="5">
        <v>48</v>
      </c>
      <c r="K35" s="5">
        <v>12.88</v>
      </c>
      <c r="L35" s="6">
        <v>4.42</v>
      </c>
      <c r="M35" s="5"/>
      <c r="N35" s="5">
        <v>0.11</v>
      </c>
      <c r="O35" s="5">
        <v>0.11</v>
      </c>
      <c r="P35" s="5" t="s">
        <v>58</v>
      </c>
      <c r="Q35" s="6">
        <f t="shared" si="2"/>
        <v>0.5</v>
      </c>
      <c r="R35" s="6" t="s">
        <v>164</v>
      </c>
      <c r="S35" s="6">
        <v>2</v>
      </c>
      <c r="T35" s="6">
        <v>48</v>
      </c>
      <c r="U35" s="6">
        <f t="shared" si="0"/>
        <v>2.5</v>
      </c>
      <c r="V35" s="6">
        <f t="shared" si="1"/>
        <v>1.92</v>
      </c>
      <c r="W35" s="6">
        <v>2</v>
      </c>
      <c r="X35" s="6">
        <v>2.5</v>
      </c>
      <c r="Y35" s="6">
        <v>1.92</v>
      </c>
      <c r="Z35" s="11" t="s">
        <v>227</v>
      </c>
    </row>
    <row r="36" spans="1:26" ht="36">
      <c r="A36" s="4">
        <v>7</v>
      </c>
      <c r="B36" s="4" t="s">
        <v>163</v>
      </c>
      <c r="C36" s="5" t="s">
        <v>48</v>
      </c>
      <c r="D36" s="5" t="s">
        <v>124</v>
      </c>
      <c r="E36" s="5" t="s">
        <v>51</v>
      </c>
      <c r="F36" s="5" t="s">
        <v>69</v>
      </c>
      <c r="G36" s="5" t="s">
        <v>124</v>
      </c>
      <c r="H36" s="5" t="s">
        <v>27</v>
      </c>
      <c r="I36" s="5">
        <v>24</v>
      </c>
      <c r="J36" s="5">
        <v>48</v>
      </c>
      <c r="K36" s="5">
        <v>12.88</v>
      </c>
      <c r="L36" s="6">
        <v>4.42</v>
      </c>
      <c r="M36" s="5"/>
      <c r="N36" s="5">
        <v>0.11</v>
      </c>
      <c r="O36" s="5">
        <v>0.11</v>
      </c>
      <c r="P36" s="5" t="s">
        <v>58</v>
      </c>
      <c r="Q36" s="6">
        <f t="shared" si="2"/>
        <v>0.5</v>
      </c>
      <c r="R36" s="6" t="s">
        <v>164</v>
      </c>
      <c r="S36" s="6">
        <v>2</v>
      </c>
      <c r="T36" s="6">
        <v>48</v>
      </c>
      <c r="U36" s="6">
        <f t="shared" si="0"/>
        <v>2.5</v>
      </c>
      <c r="V36" s="6">
        <f t="shared" si="1"/>
        <v>1.92</v>
      </c>
      <c r="W36" s="6">
        <v>2</v>
      </c>
      <c r="X36" s="6">
        <v>2.5</v>
      </c>
      <c r="Y36" s="6">
        <v>1.92</v>
      </c>
      <c r="Z36" s="11" t="s">
        <v>227</v>
      </c>
    </row>
    <row r="37" spans="1:26" ht="72">
      <c r="A37" s="4">
        <v>7</v>
      </c>
      <c r="B37" s="4" t="s">
        <v>163</v>
      </c>
      <c r="C37" s="5" t="s">
        <v>23</v>
      </c>
      <c r="D37" s="5" t="s">
        <v>124</v>
      </c>
      <c r="E37" s="5" t="s">
        <v>51</v>
      </c>
      <c r="F37" s="5" t="s">
        <v>185</v>
      </c>
      <c r="G37" s="5">
        <v>2048</v>
      </c>
      <c r="H37" s="5" t="s">
        <v>27</v>
      </c>
      <c r="I37" s="5">
        <v>5</v>
      </c>
      <c r="J37" s="5">
        <v>5</v>
      </c>
      <c r="K37" s="5">
        <v>140</v>
      </c>
      <c r="L37" s="6">
        <v>6</v>
      </c>
      <c r="M37" s="5"/>
      <c r="N37" s="5">
        <v>0</v>
      </c>
      <c r="O37" s="5">
        <v>6</v>
      </c>
      <c r="P37" s="5" t="s">
        <v>115</v>
      </c>
      <c r="Q37" s="6">
        <v>1.5</v>
      </c>
      <c r="R37" s="6" t="s">
        <v>68</v>
      </c>
      <c r="S37" s="6">
        <f>((G37/1000)+(0.05*(T37-10))+0.5)</f>
        <v>22.048000000000002</v>
      </c>
      <c r="T37" s="6">
        <v>400</v>
      </c>
      <c r="U37" s="6">
        <f t="shared" si="0"/>
        <v>23.548000000000002</v>
      </c>
      <c r="V37" s="6">
        <f t="shared" si="1"/>
        <v>-17.548000000000002</v>
      </c>
      <c r="W37" s="6">
        <v>2.548</v>
      </c>
      <c r="X37" s="6">
        <v>4.048</v>
      </c>
      <c r="Y37" s="6">
        <v>1.952</v>
      </c>
      <c r="Z37" s="11" t="s">
        <v>226</v>
      </c>
    </row>
    <row r="38" spans="1:26" ht="36">
      <c r="A38" s="4">
        <v>7</v>
      </c>
      <c r="B38" s="4" t="s">
        <v>163</v>
      </c>
      <c r="C38" s="5" t="s">
        <v>48</v>
      </c>
      <c r="D38" s="5" t="s">
        <v>124</v>
      </c>
      <c r="E38" s="5" t="s">
        <v>51</v>
      </c>
      <c r="F38" s="5" t="s">
        <v>69</v>
      </c>
      <c r="G38" s="5" t="s">
        <v>165</v>
      </c>
      <c r="H38" s="5" t="s">
        <v>27</v>
      </c>
      <c r="I38" s="5">
        <v>24</v>
      </c>
      <c r="J38" s="5">
        <v>48</v>
      </c>
      <c r="K38" s="5">
        <v>20.63</v>
      </c>
      <c r="L38" s="6">
        <v>4.58</v>
      </c>
      <c r="M38" s="5"/>
      <c r="N38" s="5">
        <v>0.11</v>
      </c>
      <c r="O38" s="5">
        <v>0.11</v>
      </c>
      <c r="P38" s="5" t="s">
        <v>58</v>
      </c>
      <c r="Q38" s="6">
        <f>0.5</f>
        <v>0.5</v>
      </c>
      <c r="R38" s="6" t="s">
        <v>164</v>
      </c>
      <c r="S38" s="6">
        <v>2</v>
      </c>
      <c r="T38" s="6">
        <v>48</v>
      </c>
      <c r="U38" s="6">
        <f t="shared" si="0"/>
        <v>2.5</v>
      </c>
      <c r="V38" s="6">
        <f t="shared" si="1"/>
        <v>2.08</v>
      </c>
      <c r="W38" s="6">
        <v>2</v>
      </c>
      <c r="X38" s="6">
        <v>2.5</v>
      </c>
      <c r="Y38" s="6">
        <v>2.08</v>
      </c>
      <c r="Z38" s="11" t="s">
        <v>227</v>
      </c>
    </row>
    <row r="39" spans="1:26" ht="36">
      <c r="A39" s="4">
        <v>7</v>
      </c>
      <c r="B39" s="4" t="s">
        <v>163</v>
      </c>
      <c r="C39" s="5" t="s">
        <v>48</v>
      </c>
      <c r="D39" s="5" t="s">
        <v>124</v>
      </c>
      <c r="E39" s="5" t="s">
        <v>51</v>
      </c>
      <c r="F39" s="5" t="s">
        <v>166</v>
      </c>
      <c r="G39" s="5" t="s">
        <v>165</v>
      </c>
      <c r="H39" s="5" t="s">
        <v>27</v>
      </c>
      <c r="I39" s="5">
        <v>8</v>
      </c>
      <c r="J39" s="5">
        <v>24</v>
      </c>
      <c r="K39" s="5">
        <v>4.656</v>
      </c>
      <c r="L39" s="6">
        <v>4.584</v>
      </c>
      <c r="M39" s="5"/>
      <c r="N39" s="5">
        <v>0.2</v>
      </c>
      <c r="O39" s="5">
        <v>0.2</v>
      </c>
      <c r="P39" s="5" t="s">
        <v>58</v>
      </c>
      <c r="Q39" s="6">
        <f>0.5</f>
        <v>0.5</v>
      </c>
      <c r="R39" s="6" t="s">
        <v>164</v>
      </c>
      <c r="S39" s="6">
        <v>2</v>
      </c>
      <c r="T39" s="6">
        <v>15</v>
      </c>
      <c r="U39" s="6">
        <f t="shared" si="0"/>
        <v>2.5</v>
      </c>
      <c r="V39" s="6">
        <f t="shared" si="1"/>
        <v>2.0839999999999996</v>
      </c>
      <c r="W39" s="6">
        <v>2</v>
      </c>
      <c r="X39" s="6">
        <v>2.5</v>
      </c>
      <c r="Y39" s="6">
        <v>2.0839999999999996</v>
      </c>
      <c r="Z39" s="11" t="s">
        <v>227</v>
      </c>
    </row>
    <row r="40" spans="1:26" ht="36">
      <c r="A40" s="4">
        <v>7</v>
      </c>
      <c r="B40" s="4" t="s">
        <v>163</v>
      </c>
      <c r="C40" s="5" t="s">
        <v>48</v>
      </c>
      <c r="D40" s="5" t="s">
        <v>124</v>
      </c>
      <c r="E40" s="5" t="s">
        <v>51</v>
      </c>
      <c r="F40" s="5" t="s">
        <v>167</v>
      </c>
      <c r="G40" s="5">
        <v>128</v>
      </c>
      <c r="H40" s="5" t="s">
        <v>53</v>
      </c>
      <c r="I40" s="5">
        <v>24</v>
      </c>
      <c r="J40" s="5">
        <v>48</v>
      </c>
      <c r="K40" s="5">
        <v>24.48</v>
      </c>
      <c r="L40" s="6">
        <v>4.74</v>
      </c>
      <c r="M40" s="5"/>
      <c r="N40" s="5">
        <v>0.22</v>
      </c>
      <c r="O40" s="5">
        <v>0.22</v>
      </c>
      <c r="P40" s="5" t="s">
        <v>58</v>
      </c>
      <c r="Q40" s="6">
        <f>0.5</f>
        <v>0.5</v>
      </c>
      <c r="R40" s="6" t="s">
        <v>164</v>
      </c>
      <c r="S40" s="6">
        <v>2</v>
      </c>
      <c r="T40" s="6">
        <v>38.4</v>
      </c>
      <c r="U40" s="6">
        <f t="shared" si="0"/>
        <v>2.5</v>
      </c>
      <c r="V40" s="6">
        <f t="shared" si="1"/>
        <v>2.24</v>
      </c>
      <c r="W40" s="6">
        <v>2</v>
      </c>
      <c r="X40" s="6">
        <v>2.5</v>
      </c>
      <c r="Y40" s="6">
        <v>2.24</v>
      </c>
      <c r="Z40" s="11" t="s">
        <v>227</v>
      </c>
    </row>
    <row r="41" spans="1:26" ht="48">
      <c r="A41" s="4">
        <v>7</v>
      </c>
      <c r="B41" s="4" t="s">
        <v>163</v>
      </c>
      <c r="C41" s="5" t="s">
        <v>48</v>
      </c>
      <c r="D41" s="5" t="s">
        <v>124</v>
      </c>
      <c r="E41" s="5" t="s">
        <v>51</v>
      </c>
      <c r="F41" s="5" t="s">
        <v>202</v>
      </c>
      <c r="G41" s="5" t="s">
        <v>165</v>
      </c>
      <c r="H41" s="5" t="s">
        <v>27</v>
      </c>
      <c r="I41" s="5">
        <v>26</v>
      </c>
      <c r="J41" s="5">
        <v>26</v>
      </c>
      <c r="K41" s="5">
        <v>0.5</v>
      </c>
      <c r="L41" s="6">
        <v>4.5</v>
      </c>
      <c r="M41" s="5"/>
      <c r="N41" s="5">
        <v>1</v>
      </c>
      <c r="O41" s="5">
        <v>0.5</v>
      </c>
      <c r="P41" s="5"/>
      <c r="Q41" s="6"/>
      <c r="R41" s="6" t="s">
        <v>203</v>
      </c>
      <c r="S41" s="6">
        <f>2+0.2</f>
        <v>2.2</v>
      </c>
      <c r="T41" s="6"/>
      <c r="U41" s="6">
        <f t="shared" si="0"/>
        <v>2.2</v>
      </c>
      <c r="V41" s="6">
        <f t="shared" si="1"/>
        <v>2.3</v>
      </c>
      <c r="W41" s="6">
        <v>2.2</v>
      </c>
      <c r="X41" s="6">
        <v>2.2</v>
      </c>
      <c r="Y41" s="6">
        <v>2.3</v>
      </c>
      <c r="Z41" s="11" t="s">
        <v>227</v>
      </c>
    </row>
    <row r="42" spans="1:26" ht="60">
      <c r="A42" s="4">
        <v>7</v>
      </c>
      <c r="B42" s="4" t="s">
        <v>163</v>
      </c>
      <c r="C42" s="5" t="s">
        <v>48</v>
      </c>
      <c r="D42" s="5" t="s">
        <v>124</v>
      </c>
      <c r="E42" s="5" t="s">
        <v>51</v>
      </c>
      <c r="F42" s="5" t="s">
        <v>202</v>
      </c>
      <c r="G42" s="5" t="s">
        <v>165</v>
      </c>
      <c r="H42" s="5" t="s">
        <v>27</v>
      </c>
      <c r="I42" s="5">
        <v>26</v>
      </c>
      <c r="J42" s="5">
        <v>26</v>
      </c>
      <c r="K42" s="5">
        <v>1</v>
      </c>
      <c r="L42" s="6">
        <v>4.6</v>
      </c>
      <c r="M42" s="5"/>
      <c r="N42" s="5">
        <v>0.5</v>
      </c>
      <c r="O42" s="5">
        <v>1</v>
      </c>
      <c r="P42" s="5"/>
      <c r="Q42" s="6"/>
      <c r="R42" s="6" t="s">
        <v>204</v>
      </c>
      <c r="S42" s="6">
        <f>2+0.2</f>
        <v>2.2</v>
      </c>
      <c r="T42" s="6"/>
      <c r="U42" s="6">
        <f t="shared" si="0"/>
        <v>2.2</v>
      </c>
      <c r="V42" s="6">
        <f t="shared" si="1"/>
        <v>2.3999999999999995</v>
      </c>
      <c r="W42" s="6">
        <v>2.2</v>
      </c>
      <c r="X42" s="6">
        <v>2.2</v>
      </c>
      <c r="Y42" s="6">
        <v>2.4</v>
      </c>
      <c r="Z42" s="11" t="s">
        <v>227</v>
      </c>
    </row>
    <row r="43" spans="1:26" ht="36">
      <c r="A43" s="4">
        <v>7</v>
      </c>
      <c r="B43" s="4" t="s">
        <v>163</v>
      </c>
      <c r="C43" s="5" t="s">
        <v>48</v>
      </c>
      <c r="D43" s="5" t="s">
        <v>124</v>
      </c>
      <c r="E43" s="5" t="s">
        <v>51</v>
      </c>
      <c r="F43" s="5" t="s">
        <v>168</v>
      </c>
      <c r="G43" s="5">
        <v>128</v>
      </c>
      <c r="H43" s="5" t="s">
        <v>27</v>
      </c>
      <c r="I43" s="5">
        <v>48</v>
      </c>
      <c r="J43" s="5">
        <v>24</v>
      </c>
      <c r="K43" s="5">
        <v>22.4</v>
      </c>
      <c r="L43" s="6">
        <v>4.9</v>
      </c>
      <c r="M43" s="5"/>
      <c r="N43" s="5">
        <v>0.1</v>
      </c>
      <c r="O43" s="5">
        <v>0.1</v>
      </c>
      <c r="P43" s="5" t="s">
        <v>58</v>
      </c>
      <c r="Q43" s="6">
        <f aca="true" t="shared" si="3" ref="Q43:Q51">0.5</f>
        <v>0.5</v>
      </c>
      <c r="R43" s="6" t="s">
        <v>164</v>
      </c>
      <c r="S43" s="6">
        <v>2</v>
      </c>
      <c r="T43" s="6">
        <v>48</v>
      </c>
      <c r="U43" s="6">
        <f t="shared" si="0"/>
        <v>2.5</v>
      </c>
      <c r="V43" s="6">
        <f t="shared" si="1"/>
        <v>2.4000000000000004</v>
      </c>
      <c r="W43" s="6">
        <v>2</v>
      </c>
      <c r="X43" s="6">
        <v>2.5</v>
      </c>
      <c r="Y43" s="6">
        <v>2.4</v>
      </c>
      <c r="Z43" s="11" t="s">
        <v>227</v>
      </c>
    </row>
    <row r="44" spans="1:26" ht="36">
      <c r="A44" s="4">
        <v>7</v>
      </c>
      <c r="B44" s="4" t="s">
        <v>163</v>
      </c>
      <c r="C44" s="5" t="s">
        <v>48</v>
      </c>
      <c r="D44" s="5" t="s">
        <v>124</v>
      </c>
      <c r="E44" s="5" t="s">
        <v>51</v>
      </c>
      <c r="F44" s="5" t="s">
        <v>168</v>
      </c>
      <c r="G44" s="5">
        <v>128</v>
      </c>
      <c r="H44" s="5" t="s">
        <v>27</v>
      </c>
      <c r="I44" s="5">
        <v>48</v>
      </c>
      <c r="J44" s="5">
        <v>24</v>
      </c>
      <c r="K44" s="5">
        <v>22.4</v>
      </c>
      <c r="L44" s="6">
        <v>4.9</v>
      </c>
      <c r="M44" s="5"/>
      <c r="N44" s="5">
        <v>0.1</v>
      </c>
      <c r="O44" s="5">
        <v>0.1</v>
      </c>
      <c r="P44" s="5" t="s">
        <v>58</v>
      </c>
      <c r="Q44" s="6">
        <f t="shared" si="3"/>
        <v>0.5</v>
      </c>
      <c r="R44" s="6" t="s">
        <v>164</v>
      </c>
      <c r="S44" s="6">
        <v>2</v>
      </c>
      <c r="T44" s="6">
        <v>48</v>
      </c>
      <c r="U44" s="6">
        <f t="shared" si="0"/>
        <v>2.5</v>
      </c>
      <c r="V44" s="6">
        <f t="shared" si="1"/>
        <v>2.4000000000000004</v>
      </c>
      <c r="W44" s="6">
        <v>2</v>
      </c>
      <c r="X44" s="6">
        <v>2.5</v>
      </c>
      <c r="Y44" s="6">
        <v>2.4</v>
      </c>
      <c r="Z44" s="11" t="s">
        <v>227</v>
      </c>
    </row>
    <row r="45" spans="1:26" ht="48">
      <c r="A45" s="4">
        <v>7</v>
      </c>
      <c r="B45" s="4" t="s">
        <v>163</v>
      </c>
      <c r="C45" s="5" t="s">
        <v>48</v>
      </c>
      <c r="D45" s="5" t="s">
        <v>124</v>
      </c>
      <c r="E45" s="5" t="s">
        <v>51</v>
      </c>
      <c r="F45" s="5" t="s">
        <v>191</v>
      </c>
      <c r="G45" s="5">
        <v>32</v>
      </c>
      <c r="H45" s="5" t="s">
        <v>53</v>
      </c>
      <c r="I45" s="5">
        <v>50</v>
      </c>
      <c r="J45" s="5">
        <v>40</v>
      </c>
      <c r="K45" s="5">
        <v>40</v>
      </c>
      <c r="L45" s="6">
        <v>4.5</v>
      </c>
      <c r="M45" s="5"/>
      <c r="N45" s="5">
        <v>0.14</v>
      </c>
      <c r="O45" s="5">
        <v>0.14</v>
      </c>
      <c r="P45" s="5" t="s">
        <v>58</v>
      </c>
      <c r="Q45" s="6">
        <f t="shared" si="3"/>
        <v>0.5</v>
      </c>
      <c r="R45" s="6" t="s">
        <v>192</v>
      </c>
      <c r="S45" s="6">
        <f>((G45/1000)-0.5+2)</f>
        <v>1.532</v>
      </c>
      <c r="T45" s="6">
        <v>48</v>
      </c>
      <c r="U45" s="6">
        <f t="shared" si="0"/>
        <v>2.032</v>
      </c>
      <c r="V45" s="6">
        <f t="shared" si="1"/>
        <v>2.468</v>
      </c>
      <c r="W45" s="6">
        <v>1.532</v>
      </c>
      <c r="X45" s="6">
        <v>2.032</v>
      </c>
      <c r="Y45" s="6">
        <v>2.468</v>
      </c>
      <c r="Z45" s="11" t="s">
        <v>227</v>
      </c>
    </row>
    <row r="46" spans="1:26" ht="36">
      <c r="A46" s="4">
        <v>7</v>
      </c>
      <c r="B46" s="4" t="s">
        <v>163</v>
      </c>
      <c r="C46" s="5" t="s">
        <v>48</v>
      </c>
      <c r="D46" s="5" t="s">
        <v>124</v>
      </c>
      <c r="E46" s="5" t="s">
        <v>51</v>
      </c>
      <c r="F46" s="5" t="s">
        <v>180</v>
      </c>
      <c r="G46" s="5" t="s">
        <v>181</v>
      </c>
      <c r="H46" s="5" t="s">
        <v>27</v>
      </c>
      <c r="I46" s="5">
        <v>50</v>
      </c>
      <c r="J46" s="5">
        <v>40</v>
      </c>
      <c r="K46" s="5">
        <v>28</v>
      </c>
      <c r="L46" s="6">
        <v>5</v>
      </c>
      <c r="M46" s="5"/>
      <c r="N46" s="5">
        <v>0.06</v>
      </c>
      <c r="O46" s="5">
        <v>0.06</v>
      </c>
      <c r="P46" s="5" t="s">
        <v>58</v>
      </c>
      <c r="Q46" s="6">
        <f t="shared" si="3"/>
        <v>0.5</v>
      </c>
      <c r="R46" s="6" t="s">
        <v>164</v>
      </c>
      <c r="S46" s="6">
        <v>2</v>
      </c>
      <c r="T46" s="6">
        <v>80</v>
      </c>
      <c r="U46" s="6">
        <f t="shared" si="0"/>
        <v>2.5</v>
      </c>
      <c r="V46" s="6">
        <f t="shared" si="1"/>
        <v>2.5</v>
      </c>
      <c r="W46" s="6">
        <v>2</v>
      </c>
      <c r="X46" s="6">
        <v>2.5</v>
      </c>
      <c r="Y46" s="6">
        <v>2.5</v>
      </c>
      <c r="Z46" s="11" t="s">
        <v>227</v>
      </c>
    </row>
    <row r="47" spans="1:26" ht="36">
      <c r="A47" s="4">
        <v>7</v>
      </c>
      <c r="B47" s="4" t="s">
        <v>163</v>
      </c>
      <c r="C47" s="5" t="s">
        <v>48</v>
      </c>
      <c r="D47" s="5" t="s">
        <v>124</v>
      </c>
      <c r="E47" s="5" t="s">
        <v>51</v>
      </c>
      <c r="F47" s="5" t="s">
        <v>180</v>
      </c>
      <c r="G47" s="5" t="s">
        <v>181</v>
      </c>
      <c r="H47" s="5" t="s">
        <v>27</v>
      </c>
      <c r="I47" s="5">
        <v>70</v>
      </c>
      <c r="J47" s="5">
        <v>40</v>
      </c>
      <c r="K47" s="5">
        <v>28</v>
      </c>
      <c r="L47" s="6">
        <v>5</v>
      </c>
      <c r="M47" s="5"/>
      <c r="N47" s="5">
        <v>0.06</v>
      </c>
      <c r="O47" s="5">
        <v>0.06</v>
      </c>
      <c r="P47" s="5" t="s">
        <v>58</v>
      </c>
      <c r="Q47" s="6">
        <f t="shared" si="3"/>
        <v>0.5</v>
      </c>
      <c r="R47" s="6" t="s">
        <v>164</v>
      </c>
      <c r="S47" s="6">
        <v>2</v>
      </c>
      <c r="T47" s="6">
        <v>80</v>
      </c>
      <c r="U47" s="6">
        <f t="shared" si="0"/>
        <v>2.5</v>
      </c>
      <c r="V47" s="6">
        <f t="shared" si="1"/>
        <v>2.5</v>
      </c>
      <c r="W47" s="6">
        <v>2</v>
      </c>
      <c r="X47" s="6">
        <v>2.5</v>
      </c>
      <c r="Y47" s="6">
        <v>2.5</v>
      </c>
      <c r="Z47" s="11" t="s">
        <v>227</v>
      </c>
    </row>
    <row r="48" spans="1:26" ht="36">
      <c r="A48" s="4">
        <v>7</v>
      </c>
      <c r="B48" s="4" t="s">
        <v>163</v>
      </c>
      <c r="C48" s="5" t="s">
        <v>48</v>
      </c>
      <c r="D48" s="5" t="s">
        <v>124</v>
      </c>
      <c r="E48" s="5" t="s">
        <v>124</v>
      </c>
      <c r="F48" s="5" t="s">
        <v>184</v>
      </c>
      <c r="G48" s="5"/>
      <c r="H48" s="5" t="s">
        <v>27</v>
      </c>
      <c r="I48" s="5">
        <v>0</v>
      </c>
      <c r="J48" s="5">
        <v>0</v>
      </c>
      <c r="K48" s="5"/>
      <c r="L48" s="6">
        <v>5</v>
      </c>
      <c r="M48" s="5"/>
      <c r="N48" s="5">
        <v>0.11</v>
      </c>
      <c r="O48" s="5">
        <v>0.11</v>
      </c>
      <c r="P48" s="5" t="s">
        <v>58</v>
      </c>
      <c r="Q48" s="6">
        <f t="shared" si="3"/>
        <v>0.5</v>
      </c>
      <c r="R48" s="6" t="s">
        <v>164</v>
      </c>
      <c r="S48" s="6">
        <v>2</v>
      </c>
      <c r="T48" s="6">
        <v>80</v>
      </c>
      <c r="U48" s="6">
        <f t="shared" si="0"/>
        <v>2.5</v>
      </c>
      <c r="V48" s="6">
        <f t="shared" si="1"/>
        <v>2.5</v>
      </c>
      <c r="W48" s="6">
        <v>2</v>
      </c>
      <c r="X48" s="6">
        <v>2.5</v>
      </c>
      <c r="Y48" s="6">
        <v>2.5</v>
      </c>
      <c r="Z48" s="11" t="s">
        <v>227</v>
      </c>
    </row>
    <row r="49" spans="1:26" ht="36">
      <c r="A49" s="4">
        <v>7</v>
      </c>
      <c r="B49" s="4" t="s">
        <v>163</v>
      </c>
      <c r="C49" s="5" t="s">
        <v>48</v>
      </c>
      <c r="D49" s="5" t="s">
        <v>124</v>
      </c>
      <c r="E49" s="5" t="s">
        <v>124</v>
      </c>
      <c r="F49" s="5" t="s">
        <v>184</v>
      </c>
      <c r="G49" s="5"/>
      <c r="H49" s="5" t="s">
        <v>27</v>
      </c>
      <c r="I49" s="5">
        <v>0</v>
      </c>
      <c r="J49" s="5">
        <v>0</v>
      </c>
      <c r="K49" s="5"/>
      <c r="L49" s="6">
        <v>5</v>
      </c>
      <c r="M49" s="5"/>
      <c r="N49" s="5">
        <v>0.11</v>
      </c>
      <c r="O49" s="5">
        <v>0.11</v>
      </c>
      <c r="P49" s="5" t="s">
        <v>58</v>
      </c>
      <c r="Q49" s="6">
        <f t="shared" si="3"/>
        <v>0.5</v>
      </c>
      <c r="R49" s="6" t="s">
        <v>164</v>
      </c>
      <c r="S49" s="6">
        <v>2</v>
      </c>
      <c r="T49" s="6">
        <v>80</v>
      </c>
      <c r="U49" s="6">
        <f t="shared" si="0"/>
        <v>2.5</v>
      </c>
      <c r="V49" s="6">
        <f t="shared" si="1"/>
        <v>2.5</v>
      </c>
      <c r="W49" s="6">
        <v>2</v>
      </c>
      <c r="X49" s="6">
        <v>2.5</v>
      </c>
      <c r="Y49" s="6">
        <v>2.5</v>
      </c>
      <c r="Z49" s="11" t="s">
        <v>227</v>
      </c>
    </row>
    <row r="50" spans="1:26" ht="36">
      <c r="A50" s="4">
        <v>7</v>
      </c>
      <c r="B50" s="4" t="s">
        <v>163</v>
      </c>
      <c r="C50" s="5" t="s">
        <v>48</v>
      </c>
      <c r="D50" s="5" t="s">
        <v>124</v>
      </c>
      <c r="E50" s="5" t="s">
        <v>124</v>
      </c>
      <c r="F50" s="5" t="s">
        <v>184</v>
      </c>
      <c r="G50" s="5"/>
      <c r="H50" s="5" t="s">
        <v>27</v>
      </c>
      <c r="I50" s="5">
        <v>0</v>
      </c>
      <c r="J50" s="5">
        <v>0</v>
      </c>
      <c r="K50" s="5"/>
      <c r="L50" s="6">
        <v>5</v>
      </c>
      <c r="M50" s="5"/>
      <c r="N50" s="5">
        <v>0.11</v>
      </c>
      <c r="O50" s="5">
        <v>0.11</v>
      </c>
      <c r="P50" s="5" t="s">
        <v>58</v>
      </c>
      <c r="Q50" s="6">
        <f t="shared" si="3"/>
        <v>0.5</v>
      </c>
      <c r="R50" s="6" t="s">
        <v>164</v>
      </c>
      <c r="S50" s="6">
        <v>2</v>
      </c>
      <c r="T50" s="6">
        <v>80</v>
      </c>
      <c r="U50" s="6">
        <f t="shared" si="0"/>
        <v>2.5</v>
      </c>
      <c r="V50" s="6">
        <f t="shared" si="1"/>
        <v>2.5</v>
      </c>
      <c r="W50" s="6">
        <v>2</v>
      </c>
      <c r="X50" s="6">
        <v>2.5</v>
      </c>
      <c r="Y50" s="6">
        <v>2.5</v>
      </c>
      <c r="Z50" s="11" t="s">
        <v>227</v>
      </c>
    </row>
    <row r="51" spans="1:26" ht="36">
      <c r="A51" s="4">
        <v>7</v>
      </c>
      <c r="B51" s="4" t="s">
        <v>163</v>
      </c>
      <c r="C51" s="5" t="s">
        <v>48</v>
      </c>
      <c r="D51" s="5" t="s">
        <v>124</v>
      </c>
      <c r="E51" s="5" t="s">
        <v>124</v>
      </c>
      <c r="F51" s="5" t="s">
        <v>184</v>
      </c>
      <c r="G51" s="5"/>
      <c r="H51" s="5" t="s">
        <v>27</v>
      </c>
      <c r="I51" s="5">
        <v>0</v>
      </c>
      <c r="J51" s="5">
        <v>0</v>
      </c>
      <c r="K51" s="5"/>
      <c r="L51" s="6">
        <v>5</v>
      </c>
      <c r="M51" s="5"/>
      <c r="N51" s="5">
        <v>0.48</v>
      </c>
      <c r="O51" s="5">
        <v>0.48</v>
      </c>
      <c r="P51" s="5" t="s">
        <v>58</v>
      </c>
      <c r="Q51" s="6">
        <f t="shared" si="3"/>
        <v>0.5</v>
      </c>
      <c r="R51" s="6" t="s">
        <v>164</v>
      </c>
      <c r="S51" s="6">
        <v>2</v>
      </c>
      <c r="T51" s="6">
        <v>36</v>
      </c>
      <c r="U51" s="6">
        <f t="shared" si="0"/>
        <v>2.5</v>
      </c>
      <c r="V51" s="6">
        <f t="shared" si="1"/>
        <v>2.5</v>
      </c>
      <c r="W51" s="6">
        <v>2</v>
      </c>
      <c r="X51" s="6">
        <v>2.5</v>
      </c>
      <c r="Y51" s="6">
        <v>2.5</v>
      </c>
      <c r="Z51" s="11" t="s">
        <v>227</v>
      </c>
    </row>
    <row r="52" spans="1:26" ht="60">
      <c r="A52" s="4">
        <v>7</v>
      </c>
      <c r="B52" s="4" t="s">
        <v>163</v>
      </c>
      <c r="C52" s="5" t="s">
        <v>48</v>
      </c>
      <c r="D52" s="5" t="s">
        <v>124</v>
      </c>
      <c r="E52" s="5" t="s">
        <v>51</v>
      </c>
      <c r="F52" s="5" t="s">
        <v>194</v>
      </c>
      <c r="G52" s="5">
        <v>768</v>
      </c>
      <c r="H52" s="5" t="s">
        <v>53</v>
      </c>
      <c r="I52" s="5">
        <v>240</v>
      </c>
      <c r="J52" s="5">
        <v>240</v>
      </c>
      <c r="K52" s="5">
        <v>180</v>
      </c>
      <c r="L52" s="6">
        <v>3.8</v>
      </c>
      <c r="M52" s="5"/>
      <c r="N52" s="5">
        <v>0.12</v>
      </c>
      <c r="O52" s="5">
        <v>0.12</v>
      </c>
      <c r="P52" s="5" t="s">
        <v>108</v>
      </c>
      <c r="Q52" s="6">
        <v>0.5</v>
      </c>
      <c r="R52" s="6" t="s">
        <v>195</v>
      </c>
      <c r="S52" s="6">
        <f>((G52/1000)-0.5+0.5)</f>
        <v>0.768</v>
      </c>
      <c r="T52" s="6">
        <v>310</v>
      </c>
      <c r="U52" s="6">
        <f t="shared" si="0"/>
        <v>1.268</v>
      </c>
      <c r="V52" s="6">
        <f t="shared" si="1"/>
        <v>2.532</v>
      </c>
      <c r="W52" s="6">
        <v>0.768</v>
      </c>
      <c r="X52" s="6">
        <v>1.268</v>
      </c>
      <c r="Y52" s="6">
        <v>2.532</v>
      </c>
      <c r="Z52" s="11" t="s">
        <v>227</v>
      </c>
    </row>
    <row r="53" spans="1:26" ht="48">
      <c r="A53" s="4">
        <v>7</v>
      </c>
      <c r="B53" s="4" t="s">
        <v>163</v>
      </c>
      <c r="C53" s="5" t="s">
        <v>48</v>
      </c>
      <c r="D53" s="5" t="s">
        <v>124</v>
      </c>
      <c r="E53" s="5" t="s">
        <v>51</v>
      </c>
      <c r="F53" s="5" t="s">
        <v>57</v>
      </c>
      <c r="G53" s="5" t="s">
        <v>179</v>
      </c>
      <c r="H53" s="5" t="s">
        <v>27</v>
      </c>
      <c r="I53" s="5">
        <v>10</v>
      </c>
      <c r="J53" s="5">
        <v>10</v>
      </c>
      <c r="K53" s="5">
        <v>7.5</v>
      </c>
      <c r="L53" s="6">
        <v>3.6</v>
      </c>
      <c r="M53" s="5"/>
      <c r="N53" s="5">
        <v>0.2</v>
      </c>
      <c r="O53" s="5">
        <v>0.2</v>
      </c>
      <c r="P53" s="5" t="s">
        <v>58</v>
      </c>
      <c r="Q53" s="6">
        <f>0.5</f>
        <v>0.5</v>
      </c>
      <c r="R53" s="6" t="s">
        <v>64</v>
      </c>
      <c r="S53" s="6">
        <v>0.5</v>
      </c>
      <c r="T53" s="6">
        <v>31.2</v>
      </c>
      <c r="U53" s="6">
        <f t="shared" si="0"/>
        <v>1</v>
      </c>
      <c r="V53" s="6">
        <f t="shared" si="1"/>
        <v>2.6</v>
      </c>
      <c r="W53" s="6">
        <v>0.5</v>
      </c>
      <c r="X53" s="6">
        <v>1</v>
      </c>
      <c r="Y53" s="6">
        <v>2.6</v>
      </c>
      <c r="Z53" s="11" t="s">
        <v>227</v>
      </c>
    </row>
    <row r="54" spans="1:26" ht="60">
      <c r="A54" s="4">
        <v>7</v>
      </c>
      <c r="B54" s="4" t="s">
        <v>163</v>
      </c>
      <c r="C54" s="5" t="s">
        <v>48</v>
      </c>
      <c r="D54" s="5" t="s">
        <v>124</v>
      </c>
      <c r="E54" s="5" t="s">
        <v>51</v>
      </c>
      <c r="F54" s="5" t="s">
        <v>194</v>
      </c>
      <c r="G54" s="5">
        <v>1408</v>
      </c>
      <c r="H54" s="5" t="s">
        <v>53</v>
      </c>
      <c r="I54" s="5">
        <v>400</v>
      </c>
      <c r="J54" s="5">
        <v>400</v>
      </c>
      <c r="K54" s="5">
        <v>191.1</v>
      </c>
      <c r="L54" s="6">
        <v>4.56</v>
      </c>
      <c r="M54" s="5"/>
      <c r="N54" s="5">
        <v>0</v>
      </c>
      <c r="O54" s="5">
        <v>0</v>
      </c>
      <c r="P54" s="5" t="s">
        <v>108</v>
      </c>
      <c r="Q54" s="6">
        <v>0.5</v>
      </c>
      <c r="R54" s="6" t="s">
        <v>195</v>
      </c>
      <c r="S54" s="6">
        <f>((G54/1000)-0.5+0.5)</f>
        <v>1.408</v>
      </c>
      <c r="T54" s="6">
        <v>310</v>
      </c>
      <c r="U54" s="6">
        <f t="shared" si="0"/>
        <v>1.908</v>
      </c>
      <c r="V54" s="6">
        <f t="shared" si="1"/>
        <v>2.6519999999999997</v>
      </c>
      <c r="W54" s="6">
        <v>1.408</v>
      </c>
      <c r="X54" s="6">
        <v>1.908</v>
      </c>
      <c r="Y54" s="6">
        <v>2.6519999999999997</v>
      </c>
      <c r="Z54" s="11" t="s">
        <v>227</v>
      </c>
    </row>
    <row r="55" spans="1:26" ht="24">
      <c r="A55" s="4">
        <v>7</v>
      </c>
      <c r="B55" s="4" t="s">
        <v>163</v>
      </c>
      <c r="C55" s="5" t="s">
        <v>48</v>
      </c>
      <c r="D55" s="5" t="s">
        <v>124</v>
      </c>
      <c r="E55" s="5" t="s">
        <v>51</v>
      </c>
      <c r="F55" s="5" t="s">
        <v>171</v>
      </c>
      <c r="G55" s="5">
        <v>0.132</v>
      </c>
      <c r="H55" s="5" t="s">
        <v>53</v>
      </c>
      <c r="I55" s="5">
        <v>42</v>
      </c>
      <c r="J55" s="5">
        <v>42</v>
      </c>
      <c r="K55" s="5">
        <v>13</v>
      </c>
      <c r="L55" s="6">
        <v>2.66</v>
      </c>
      <c r="M55" s="5"/>
      <c r="N55" s="5">
        <v>0</v>
      </c>
      <c r="O55" s="5">
        <v>0</v>
      </c>
      <c r="P55" s="5"/>
      <c r="Q55" s="6"/>
      <c r="R55" s="6"/>
      <c r="S55" s="6"/>
      <c r="T55" s="6"/>
      <c r="U55" s="6"/>
      <c r="V55" s="6">
        <f>L55</f>
        <v>2.66</v>
      </c>
      <c r="W55" s="6"/>
      <c r="X55" s="6"/>
      <c r="Y55" s="6">
        <v>2.66</v>
      </c>
      <c r="Z55" s="11" t="s">
        <v>227</v>
      </c>
    </row>
    <row r="56" spans="1:26" ht="36">
      <c r="A56" s="4">
        <v>7</v>
      </c>
      <c r="B56" s="4" t="s">
        <v>163</v>
      </c>
      <c r="C56" s="5" t="s">
        <v>48</v>
      </c>
      <c r="D56" s="5" t="s">
        <v>124</v>
      </c>
      <c r="E56" s="5" t="s">
        <v>124</v>
      </c>
      <c r="F56" s="5" t="s">
        <v>184</v>
      </c>
      <c r="G56" s="5"/>
      <c r="H56" s="5" t="s">
        <v>27</v>
      </c>
      <c r="I56" s="5">
        <v>0</v>
      </c>
      <c r="J56" s="5">
        <v>0</v>
      </c>
      <c r="K56" s="5"/>
      <c r="L56" s="6">
        <v>5.3</v>
      </c>
      <c r="M56" s="5"/>
      <c r="N56" s="5">
        <v>0.38</v>
      </c>
      <c r="O56" s="5">
        <v>0.38</v>
      </c>
      <c r="P56" s="5" t="s">
        <v>58</v>
      </c>
      <c r="Q56" s="6">
        <f aca="true" t="shared" si="4" ref="Q56:Q67">0.5</f>
        <v>0.5</v>
      </c>
      <c r="R56" s="6" t="s">
        <v>164</v>
      </c>
      <c r="S56" s="6">
        <v>2</v>
      </c>
      <c r="T56" s="6">
        <v>50</v>
      </c>
      <c r="U56" s="6">
        <f aca="true" t="shared" si="5" ref="U56:U67">Q56+S56</f>
        <v>2.5</v>
      </c>
      <c r="V56" s="6">
        <f aca="true" t="shared" si="6" ref="V56:V67">L56-U56</f>
        <v>2.8</v>
      </c>
      <c r="W56" s="6">
        <v>2</v>
      </c>
      <c r="X56" s="6">
        <v>2.5</v>
      </c>
      <c r="Y56" s="6">
        <v>2.8</v>
      </c>
      <c r="Z56" s="11" t="s">
        <v>227</v>
      </c>
    </row>
    <row r="57" spans="1:26" ht="36">
      <c r="A57" s="4">
        <v>7</v>
      </c>
      <c r="B57" s="4" t="s">
        <v>163</v>
      </c>
      <c r="C57" s="5" t="s">
        <v>48</v>
      </c>
      <c r="D57" s="5" t="s">
        <v>124</v>
      </c>
      <c r="E57" s="5" t="s">
        <v>124</v>
      </c>
      <c r="F57" s="5" t="s">
        <v>184</v>
      </c>
      <c r="G57" s="5"/>
      <c r="H57" s="5" t="s">
        <v>27</v>
      </c>
      <c r="I57" s="5">
        <v>0</v>
      </c>
      <c r="J57" s="5">
        <v>0</v>
      </c>
      <c r="K57" s="5"/>
      <c r="L57" s="6">
        <v>5.3</v>
      </c>
      <c r="M57" s="5"/>
      <c r="N57" s="5">
        <v>0.47</v>
      </c>
      <c r="O57" s="5">
        <v>0.47</v>
      </c>
      <c r="P57" s="5" t="s">
        <v>58</v>
      </c>
      <c r="Q57" s="6">
        <f t="shared" si="4"/>
        <v>0.5</v>
      </c>
      <c r="R57" s="6" t="s">
        <v>164</v>
      </c>
      <c r="S57" s="6">
        <v>2</v>
      </c>
      <c r="T57" s="6">
        <v>36</v>
      </c>
      <c r="U57" s="6">
        <f t="shared" si="5"/>
        <v>2.5</v>
      </c>
      <c r="V57" s="6">
        <f t="shared" si="6"/>
        <v>2.8</v>
      </c>
      <c r="W57" s="6">
        <v>2</v>
      </c>
      <c r="X57" s="6">
        <v>2.5</v>
      </c>
      <c r="Y57" s="6">
        <v>2.8</v>
      </c>
      <c r="Z57" s="11" t="s">
        <v>227</v>
      </c>
    </row>
    <row r="58" spans="1:26" ht="36">
      <c r="A58" s="4">
        <v>7</v>
      </c>
      <c r="B58" s="4" t="s">
        <v>163</v>
      </c>
      <c r="C58" s="5" t="s">
        <v>48</v>
      </c>
      <c r="D58" s="5" t="s">
        <v>124</v>
      </c>
      <c r="E58" s="5" t="s">
        <v>51</v>
      </c>
      <c r="F58" s="5" t="s">
        <v>166</v>
      </c>
      <c r="G58" s="5">
        <v>64</v>
      </c>
      <c r="H58" s="5" t="s">
        <v>27</v>
      </c>
      <c r="I58" s="5">
        <v>35</v>
      </c>
      <c r="J58" s="5">
        <v>35</v>
      </c>
      <c r="K58" s="5">
        <v>13.53</v>
      </c>
      <c r="L58" s="6">
        <v>5.31</v>
      </c>
      <c r="M58" s="5"/>
      <c r="N58" s="5">
        <v>0.14</v>
      </c>
      <c r="O58" s="5">
        <v>0.14</v>
      </c>
      <c r="P58" s="5" t="s">
        <v>58</v>
      </c>
      <c r="Q58" s="6">
        <f t="shared" si="4"/>
        <v>0.5</v>
      </c>
      <c r="R58" s="6" t="s">
        <v>164</v>
      </c>
      <c r="S58" s="6">
        <v>2</v>
      </c>
      <c r="T58" s="6">
        <v>48</v>
      </c>
      <c r="U58" s="6">
        <f t="shared" si="5"/>
        <v>2.5</v>
      </c>
      <c r="V58" s="6">
        <f t="shared" si="6"/>
        <v>2.8099999999999996</v>
      </c>
      <c r="W58" s="6">
        <v>2</v>
      </c>
      <c r="X58" s="6">
        <v>2.5</v>
      </c>
      <c r="Y58" s="6">
        <v>2.81</v>
      </c>
      <c r="Z58" s="11" t="s">
        <v>227</v>
      </c>
    </row>
    <row r="59" spans="1:26" ht="36">
      <c r="A59" s="4">
        <v>7</v>
      </c>
      <c r="B59" s="4" t="s">
        <v>163</v>
      </c>
      <c r="C59" s="5" t="s">
        <v>48</v>
      </c>
      <c r="D59" s="5" t="s">
        <v>124</v>
      </c>
      <c r="E59" s="5" t="s">
        <v>51</v>
      </c>
      <c r="F59" s="5" t="s">
        <v>166</v>
      </c>
      <c r="G59" s="5">
        <v>64</v>
      </c>
      <c r="H59" s="5" t="s">
        <v>27</v>
      </c>
      <c r="I59" s="5">
        <v>35</v>
      </c>
      <c r="J59" s="5">
        <v>35</v>
      </c>
      <c r="K59" s="5">
        <v>13.53</v>
      </c>
      <c r="L59" s="6">
        <v>5.31</v>
      </c>
      <c r="M59" s="5"/>
      <c r="N59" s="5">
        <v>0.14</v>
      </c>
      <c r="O59" s="5">
        <v>0.14</v>
      </c>
      <c r="P59" s="5" t="s">
        <v>58</v>
      </c>
      <c r="Q59" s="6">
        <f t="shared" si="4"/>
        <v>0.5</v>
      </c>
      <c r="R59" s="6" t="s">
        <v>164</v>
      </c>
      <c r="S59" s="6">
        <v>2</v>
      </c>
      <c r="T59" s="6">
        <v>48</v>
      </c>
      <c r="U59" s="6">
        <f t="shared" si="5"/>
        <v>2.5</v>
      </c>
      <c r="V59" s="6">
        <f t="shared" si="6"/>
        <v>2.8099999999999996</v>
      </c>
      <c r="W59" s="6">
        <v>2</v>
      </c>
      <c r="X59" s="6">
        <v>2.5</v>
      </c>
      <c r="Y59" s="6">
        <v>2.81</v>
      </c>
      <c r="Z59" s="11" t="s">
        <v>227</v>
      </c>
    </row>
    <row r="60" spans="1:26" ht="36">
      <c r="A60" s="4">
        <v>7</v>
      </c>
      <c r="B60" s="4" t="s">
        <v>163</v>
      </c>
      <c r="C60" s="5" t="s">
        <v>48</v>
      </c>
      <c r="D60" s="5" t="s">
        <v>124</v>
      </c>
      <c r="E60" s="5" t="s">
        <v>51</v>
      </c>
      <c r="F60" s="5" t="s">
        <v>166</v>
      </c>
      <c r="G60" s="5">
        <v>64</v>
      </c>
      <c r="H60" s="5" t="s">
        <v>27</v>
      </c>
      <c r="I60" s="5">
        <v>35</v>
      </c>
      <c r="J60" s="5">
        <v>35</v>
      </c>
      <c r="K60" s="5">
        <v>13.53</v>
      </c>
      <c r="L60" s="6">
        <v>5.31</v>
      </c>
      <c r="M60" s="5"/>
      <c r="N60" s="5">
        <v>0.14</v>
      </c>
      <c r="O60" s="5">
        <v>0.14</v>
      </c>
      <c r="P60" s="5" t="s">
        <v>58</v>
      </c>
      <c r="Q60" s="6">
        <f t="shared" si="4"/>
        <v>0.5</v>
      </c>
      <c r="R60" s="6" t="s">
        <v>164</v>
      </c>
      <c r="S60" s="6">
        <v>2</v>
      </c>
      <c r="T60" s="6">
        <v>48</v>
      </c>
      <c r="U60" s="6">
        <f t="shared" si="5"/>
        <v>2.5</v>
      </c>
      <c r="V60" s="6">
        <f t="shared" si="6"/>
        <v>2.8099999999999996</v>
      </c>
      <c r="W60" s="6">
        <v>2</v>
      </c>
      <c r="X60" s="6">
        <v>2.5</v>
      </c>
      <c r="Y60" s="6">
        <v>2.81</v>
      </c>
      <c r="Z60" s="11" t="s">
        <v>227</v>
      </c>
    </row>
    <row r="61" spans="1:26" ht="36">
      <c r="A61" s="4">
        <v>7</v>
      </c>
      <c r="B61" s="4" t="s">
        <v>163</v>
      </c>
      <c r="C61" s="5" t="s">
        <v>48</v>
      </c>
      <c r="D61" s="5" t="s">
        <v>124</v>
      </c>
      <c r="E61" s="5" t="s">
        <v>51</v>
      </c>
      <c r="F61" s="5" t="s">
        <v>166</v>
      </c>
      <c r="G61" s="5">
        <v>64</v>
      </c>
      <c r="H61" s="5" t="s">
        <v>27</v>
      </c>
      <c r="I61" s="5">
        <v>35</v>
      </c>
      <c r="J61" s="5">
        <v>35</v>
      </c>
      <c r="K61" s="5">
        <v>13.53</v>
      </c>
      <c r="L61" s="6">
        <v>5.31</v>
      </c>
      <c r="M61" s="5"/>
      <c r="N61" s="5">
        <v>0.14</v>
      </c>
      <c r="O61" s="5">
        <v>0.14</v>
      </c>
      <c r="P61" s="5" t="s">
        <v>58</v>
      </c>
      <c r="Q61" s="6">
        <f t="shared" si="4"/>
        <v>0.5</v>
      </c>
      <c r="R61" s="6" t="s">
        <v>164</v>
      </c>
      <c r="S61" s="6">
        <v>2</v>
      </c>
      <c r="T61" s="6">
        <v>48</v>
      </c>
      <c r="U61" s="6">
        <f t="shared" si="5"/>
        <v>2.5</v>
      </c>
      <c r="V61" s="6">
        <f t="shared" si="6"/>
        <v>2.8099999999999996</v>
      </c>
      <c r="W61" s="6">
        <v>2</v>
      </c>
      <c r="X61" s="6">
        <v>2.5</v>
      </c>
      <c r="Y61" s="6">
        <v>2.81</v>
      </c>
      <c r="Z61" s="11" t="s">
        <v>227</v>
      </c>
    </row>
    <row r="62" spans="1:26" ht="36">
      <c r="A62" s="4">
        <v>7</v>
      </c>
      <c r="B62" s="4" t="s">
        <v>163</v>
      </c>
      <c r="C62" s="5" t="s">
        <v>48</v>
      </c>
      <c r="D62" s="5" t="s">
        <v>124</v>
      </c>
      <c r="E62" s="5" t="s">
        <v>51</v>
      </c>
      <c r="F62" s="5" t="s">
        <v>166</v>
      </c>
      <c r="G62" s="5">
        <v>64</v>
      </c>
      <c r="H62" s="5" t="s">
        <v>27</v>
      </c>
      <c r="I62" s="5">
        <v>35</v>
      </c>
      <c r="J62" s="5">
        <v>35</v>
      </c>
      <c r="K62" s="5">
        <v>13.53</v>
      </c>
      <c r="L62" s="6">
        <v>5.31</v>
      </c>
      <c r="M62" s="5"/>
      <c r="N62" s="5">
        <v>0.14</v>
      </c>
      <c r="O62" s="5">
        <v>0.14</v>
      </c>
      <c r="P62" s="5" t="s">
        <v>58</v>
      </c>
      <c r="Q62" s="6">
        <f t="shared" si="4"/>
        <v>0.5</v>
      </c>
      <c r="R62" s="6" t="s">
        <v>164</v>
      </c>
      <c r="S62" s="6">
        <v>2</v>
      </c>
      <c r="T62" s="6">
        <v>48</v>
      </c>
      <c r="U62" s="6">
        <f t="shared" si="5"/>
        <v>2.5</v>
      </c>
      <c r="V62" s="6">
        <f t="shared" si="6"/>
        <v>2.8099999999999996</v>
      </c>
      <c r="W62" s="6">
        <v>2</v>
      </c>
      <c r="X62" s="6">
        <v>2.5</v>
      </c>
      <c r="Y62" s="6">
        <v>2.81</v>
      </c>
      <c r="Z62" s="11" t="s">
        <v>227</v>
      </c>
    </row>
    <row r="63" spans="1:26" ht="36">
      <c r="A63" s="4">
        <v>7</v>
      </c>
      <c r="B63" s="4" t="s">
        <v>163</v>
      </c>
      <c r="C63" s="5" t="s">
        <v>48</v>
      </c>
      <c r="D63" s="5" t="s">
        <v>124</v>
      </c>
      <c r="E63" s="5" t="s">
        <v>51</v>
      </c>
      <c r="F63" s="5" t="s">
        <v>166</v>
      </c>
      <c r="G63" s="5">
        <v>64</v>
      </c>
      <c r="H63" s="5" t="s">
        <v>27</v>
      </c>
      <c r="I63" s="5">
        <v>35</v>
      </c>
      <c r="J63" s="5">
        <v>35</v>
      </c>
      <c r="K63" s="5">
        <v>13.53</v>
      </c>
      <c r="L63" s="6">
        <v>5.31</v>
      </c>
      <c r="M63" s="5"/>
      <c r="N63" s="5">
        <v>0.14</v>
      </c>
      <c r="O63" s="5">
        <v>0.14</v>
      </c>
      <c r="P63" s="5" t="s">
        <v>58</v>
      </c>
      <c r="Q63" s="6">
        <f t="shared" si="4"/>
        <v>0.5</v>
      </c>
      <c r="R63" s="6" t="s">
        <v>164</v>
      </c>
      <c r="S63" s="6">
        <v>2</v>
      </c>
      <c r="T63" s="6">
        <v>48</v>
      </c>
      <c r="U63" s="6">
        <f t="shared" si="5"/>
        <v>2.5</v>
      </c>
      <c r="V63" s="6">
        <f t="shared" si="6"/>
        <v>2.8099999999999996</v>
      </c>
      <c r="W63" s="6">
        <v>2</v>
      </c>
      <c r="X63" s="6">
        <v>2.5</v>
      </c>
      <c r="Y63" s="6">
        <v>2.81</v>
      </c>
      <c r="Z63" s="11" t="s">
        <v>227</v>
      </c>
    </row>
    <row r="64" spans="1:26" ht="36">
      <c r="A64" s="4">
        <v>7</v>
      </c>
      <c r="B64" s="4" t="s">
        <v>163</v>
      </c>
      <c r="C64" s="5" t="s">
        <v>48</v>
      </c>
      <c r="D64" s="5" t="s">
        <v>124</v>
      </c>
      <c r="E64" s="5" t="s">
        <v>51</v>
      </c>
      <c r="F64" s="5" t="s">
        <v>169</v>
      </c>
      <c r="G64" s="5">
        <v>256</v>
      </c>
      <c r="H64" s="5" t="s">
        <v>27</v>
      </c>
      <c r="I64" s="5">
        <v>24</v>
      </c>
      <c r="J64" s="5">
        <v>48</v>
      </c>
      <c r="K64" s="5">
        <v>27.23</v>
      </c>
      <c r="L64" s="6">
        <v>5.497</v>
      </c>
      <c r="M64" s="5"/>
      <c r="N64" s="5">
        <v>0.114</v>
      </c>
      <c r="O64" s="5">
        <v>0.114</v>
      </c>
      <c r="P64" s="5" t="s">
        <v>58</v>
      </c>
      <c r="Q64" s="6">
        <f t="shared" si="4"/>
        <v>0.5</v>
      </c>
      <c r="R64" s="6" t="s">
        <v>164</v>
      </c>
      <c r="S64" s="6">
        <v>2</v>
      </c>
      <c r="T64" s="6">
        <v>48</v>
      </c>
      <c r="U64" s="6">
        <f t="shared" si="5"/>
        <v>2.5</v>
      </c>
      <c r="V64" s="6">
        <f t="shared" si="6"/>
        <v>2.997</v>
      </c>
      <c r="W64" s="6">
        <v>2</v>
      </c>
      <c r="X64" s="6">
        <v>2.5</v>
      </c>
      <c r="Y64" s="6">
        <v>2.997</v>
      </c>
      <c r="Z64" s="11" t="s">
        <v>227</v>
      </c>
    </row>
    <row r="65" spans="1:26" ht="36">
      <c r="A65" s="4">
        <v>7</v>
      </c>
      <c r="B65" s="4" t="s">
        <v>163</v>
      </c>
      <c r="C65" s="5" t="s">
        <v>48</v>
      </c>
      <c r="D65" s="5" t="s">
        <v>124</v>
      </c>
      <c r="E65" s="5" t="s">
        <v>51</v>
      </c>
      <c r="F65" s="5" t="s">
        <v>170</v>
      </c>
      <c r="G65" s="5" t="s">
        <v>165</v>
      </c>
      <c r="H65" s="5" t="s">
        <v>27</v>
      </c>
      <c r="I65" s="5">
        <v>24</v>
      </c>
      <c r="J65" s="5">
        <v>48</v>
      </c>
      <c r="K65" s="5">
        <v>13</v>
      </c>
      <c r="L65" s="6">
        <v>5.5</v>
      </c>
      <c r="M65" s="5"/>
      <c r="N65" s="5">
        <v>0.3</v>
      </c>
      <c r="O65" s="5">
        <v>0.3</v>
      </c>
      <c r="P65" s="5" t="s">
        <v>58</v>
      </c>
      <c r="Q65" s="6">
        <f t="shared" si="4"/>
        <v>0.5</v>
      </c>
      <c r="R65" s="6" t="s">
        <v>164</v>
      </c>
      <c r="S65" s="6">
        <v>2</v>
      </c>
      <c r="T65" s="6"/>
      <c r="U65" s="6">
        <f t="shared" si="5"/>
        <v>2.5</v>
      </c>
      <c r="V65" s="6">
        <f t="shared" si="6"/>
        <v>3</v>
      </c>
      <c r="W65" s="6">
        <v>2</v>
      </c>
      <c r="X65" s="6">
        <v>2.5</v>
      </c>
      <c r="Y65" s="6">
        <v>3</v>
      </c>
      <c r="Z65" s="11" t="s">
        <v>227</v>
      </c>
    </row>
    <row r="66" spans="1:26" ht="36">
      <c r="A66" s="4">
        <v>7</v>
      </c>
      <c r="B66" s="4" t="s">
        <v>163</v>
      </c>
      <c r="C66" s="5" t="s">
        <v>48</v>
      </c>
      <c r="D66" s="5" t="s">
        <v>124</v>
      </c>
      <c r="E66" s="5" t="s">
        <v>51</v>
      </c>
      <c r="F66" s="5" t="s">
        <v>170</v>
      </c>
      <c r="G66" s="5" t="s">
        <v>165</v>
      </c>
      <c r="H66" s="5" t="s">
        <v>27</v>
      </c>
      <c r="I66" s="5">
        <v>24</v>
      </c>
      <c r="J66" s="5">
        <v>48</v>
      </c>
      <c r="K66" s="5">
        <v>13</v>
      </c>
      <c r="L66" s="6">
        <v>5.5</v>
      </c>
      <c r="M66" s="5"/>
      <c r="N66" s="5">
        <v>0.3</v>
      </c>
      <c r="O66" s="5">
        <v>0.3</v>
      </c>
      <c r="P66" s="5" t="s">
        <v>58</v>
      </c>
      <c r="Q66" s="6">
        <f t="shared" si="4"/>
        <v>0.5</v>
      </c>
      <c r="R66" s="6" t="s">
        <v>164</v>
      </c>
      <c r="S66" s="6">
        <v>2</v>
      </c>
      <c r="T66" s="6"/>
      <c r="U66" s="6">
        <f t="shared" si="5"/>
        <v>2.5</v>
      </c>
      <c r="V66" s="6">
        <f t="shared" si="6"/>
        <v>3</v>
      </c>
      <c r="W66" s="6">
        <v>2</v>
      </c>
      <c r="X66" s="6">
        <v>2.5</v>
      </c>
      <c r="Y66" s="6">
        <v>3</v>
      </c>
      <c r="Z66" s="11" t="s">
        <v>227</v>
      </c>
    </row>
    <row r="67" spans="1:26" ht="36">
      <c r="A67" s="4">
        <v>7</v>
      </c>
      <c r="B67" s="4" t="s">
        <v>163</v>
      </c>
      <c r="C67" s="5" t="s">
        <v>48</v>
      </c>
      <c r="D67" s="5" t="s">
        <v>124</v>
      </c>
      <c r="E67" s="5" t="s">
        <v>51</v>
      </c>
      <c r="F67" s="5" t="s">
        <v>170</v>
      </c>
      <c r="G67" s="5" t="s">
        <v>124</v>
      </c>
      <c r="H67" s="5" t="s">
        <v>27</v>
      </c>
      <c r="I67" s="5">
        <v>70</v>
      </c>
      <c r="J67" s="5">
        <v>70</v>
      </c>
      <c r="K67" s="5">
        <v>17.88</v>
      </c>
      <c r="L67" s="6">
        <v>5.54</v>
      </c>
      <c r="M67" s="5"/>
      <c r="N67" s="5">
        <v>0.03</v>
      </c>
      <c r="O67" s="5">
        <v>0.03</v>
      </c>
      <c r="P67" s="5" t="s">
        <v>58</v>
      </c>
      <c r="Q67" s="6">
        <f t="shared" si="4"/>
        <v>0.5</v>
      </c>
      <c r="R67" s="6" t="s">
        <v>164</v>
      </c>
      <c r="S67" s="6">
        <v>2</v>
      </c>
      <c r="T67" s="6"/>
      <c r="U67" s="6">
        <f t="shared" si="5"/>
        <v>2.5</v>
      </c>
      <c r="V67" s="6">
        <f t="shared" si="6"/>
        <v>3.04</v>
      </c>
      <c r="W67" s="6">
        <v>2</v>
      </c>
      <c r="X67" s="6">
        <v>2.5</v>
      </c>
      <c r="Y67" s="6">
        <v>3.04</v>
      </c>
      <c r="Z67" s="11" t="s">
        <v>227</v>
      </c>
    </row>
    <row r="68" spans="1:26" ht="24">
      <c r="A68" s="4">
        <v>7</v>
      </c>
      <c r="B68" s="4" t="s">
        <v>163</v>
      </c>
      <c r="C68" s="5" t="s">
        <v>48</v>
      </c>
      <c r="D68" s="5" t="s">
        <v>124</v>
      </c>
      <c r="E68" s="5" t="s">
        <v>51</v>
      </c>
      <c r="F68" s="5" t="s">
        <v>172</v>
      </c>
      <c r="G68" s="5">
        <v>0.008</v>
      </c>
      <c r="H68" s="5" t="s">
        <v>53</v>
      </c>
      <c r="I68" s="5">
        <v>20</v>
      </c>
      <c r="J68" s="5">
        <v>18</v>
      </c>
      <c r="K68" s="5">
        <v>5.53</v>
      </c>
      <c r="L68" s="6">
        <v>3.06</v>
      </c>
      <c r="M68" s="5"/>
      <c r="N68" s="5">
        <v>0.1</v>
      </c>
      <c r="O68" s="5">
        <v>0.1</v>
      </c>
      <c r="P68" s="5"/>
      <c r="Q68" s="6"/>
      <c r="R68" s="6"/>
      <c r="S68" s="6"/>
      <c r="T68" s="6"/>
      <c r="U68" s="6"/>
      <c r="V68" s="6">
        <f>L68</f>
        <v>3.06</v>
      </c>
      <c r="W68" s="6"/>
      <c r="X68" s="6"/>
      <c r="Y68" s="6">
        <v>3.06</v>
      </c>
      <c r="Z68" s="11" t="s">
        <v>227</v>
      </c>
    </row>
    <row r="69" spans="1:26" ht="48">
      <c r="A69" s="4">
        <v>7</v>
      </c>
      <c r="B69" s="4" t="s">
        <v>163</v>
      </c>
      <c r="C69" s="5" t="s">
        <v>48</v>
      </c>
      <c r="D69" s="5" t="s">
        <v>124</v>
      </c>
      <c r="E69" s="5" t="s">
        <v>51</v>
      </c>
      <c r="F69" s="5" t="s">
        <v>191</v>
      </c>
      <c r="G69" s="5">
        <v>32</v>
      </c>
      <c r="H69" s="5" t="s">
        <v>53</v>
      </c>
      <c r="I69" s="5">
        <v>64</v>
      </c>
      <c r="J69" s="5">
        <v>50</v>
      </c>
      <c r="K69" s="5">
        <v>35</v>
      </c>
      <c r="L69" s="6">
        <v>5.13</v>
      </c>
      <c r="M69" s="5"/>
      <c r="N69" s="5">
        <v>0.1</v>
      </c>
      <c r="O69" s="5">
        <v>0.1</v>
      </c>
      <c r="P69" s="5" t="s">
        <v>58</v>
      </c>
      <c r="Q69" s="6">
        <f>0.5</f>
        <v>0.5</v>
      </c>
      <c r="R69" s="6" t="s">
        <v>192</v>
      </c>
      <c r="S69" s="6">
        <f>((G69/1000)-0.5+2)</f>
        <v>1.532</v>
      </c>
      <c r="T69" s="6">
        <v>48</v>
      </c>
      <c r="U69" s="6">
        <f aca="true" t="shared" si="7" ref="U69:U74">Q69+S69</f>
        <v>2.032</v>
      </c>
      <c r="V69" s="6">
        <f aca="true" t="shared" si="8" ref="V69:V74">L69-U69</f>
        <v>3.098</v>
      </c>
      <c r="W69" s="6">
        <v>1.532</v>
      </c>
      <c r="X69" s="6">
        <v>2.032</v>
      </c>
      <c r="Y69" s="6">
        <v>3.098</v>
      </c>
      <c r="Z69" s="11" t="s">
        <v>227</v>
      </c>
    </row>
    <row r="70" spans="1:26" ht="36">
      <c r="A70" s="4">
        <v>7</v>
      </c>
      <c r="B70" s="4" t="s">
        <v>163</v>
      </c>
      <c r="C70" s="5" t="s">
        <v>48</v>
      </c>
      <c r="D70" s="5" t="s">
        <v>124</v>
      </c>
      <c r="E70" s="5" t="s">
        <v>51</v>
      </c>
      <c r="F70" s="5" t="s">
        <v>167</v>
      </c>
      <c r="G70" s="5">
        <v>64</v>
      </c>
      <c r="H70" s="5" t="s">
        <v>27</v>
      </c>
      <c r="I70" s="5">
        <v>24</v>
      </c>
      <c r="J70" s="5">
        <v>48</v>
      </c>
      <c r="K70" s="5">
        <v>12.7</v>
      </c>
      <c r="L70" s="6">
        <v>5.66</v>
      </c>
      <c r="M70" s="5"/>
      <c r="N70" s="5">
        <v>0.11</v>
      </c>
      <c r="O70" s="5">
        <v>0.11</v>
      </c>
      <c r="P70" s="5" t="s">
        <v>58</v>
      </c>
      <c r="Q70" s="6">
        <f>0.5</f>
        <v>0.5</v>
      </c>
      <c r="R70" s="6" t="s">
        <v>164</v>
      </c>
      <c r="S70" s="6">
        <v>2</v>
      </c>
      <c r="T70" s="6">
        <v>38.4</v>
      </c>
      <c r="U70" s="6">
        <f t="shared" si="7"/>
        <v>2.5</v>
      </c>
      <c r="V70" s="6">
        <f t="shared" si="8"/>
        <v>3.16</v>
      </c>
      <c r="W70" s="6">
        <v>2</v>
      </c>
      <c r="X70" s="6">
        <v>2.5</v>
      </c>
      <c r="Y70" s="6">
        <v>3.16</v>
      </c>
      <c r="Z70" s="11" t="s">
        <v>227</v>
      </c>
    </row>
    <row r="71" spans="1:26" ht="36">
      <c r="A71" s="4">
        <v>7</v>
      </c>
      <c r="B71" s="4" t="s">
        <v>163</v>
      </c>
      <c r="C71" s="5" t="s">
        <v>48</v>
      </c>
      <c r="D71" s="5" t="s">
        <v>124</v>
      </c>
      <c r="E71" s="5" t="s">
        <v>51</v>
      </c>
      <c r="F71" s="5" t="s">
        <v>167</v>
      </c>
      <c r="G71" s="5">
        <v>64</v>
      </c>
      <c r="H71" s="5" t="s">
        <v>27</v>
      </c>
      <c r="I71" s="5">
        <v>24</v>
      </c>
      <c r="J71" s="5">
        <v>48</v>
      </c>
      <c r="K71" s="5">
        <v>12.7</v>
      </c>
      <c r="L71" s="6">
        <v>5.66</v>
      </c>
      <c r="M71" s="5"/>
      <c r="N71" s="5">
        <v>0.11</v>
      </c>
      <c r="O71" s="5">
        <v>0.11</v>
      </c>
      <c r="P71" s="5" t="s">
        <v>58</v>
      </c>
      <c r="Q71" s="6">
        <f>0.5</f>
        <v>0.5</v>
      </c>
      <c r="R71" s="6" t="s">
        <v>164</v>
      </c>
      <c r="S71" s="6">
        <v>2</v>
      </c>
      <c r="T71" s="6">
        <v>38.4</v>
      </c>
      <c r="U71" s="6">
        <f t="shared" si="7"/>
        <v>2.5</v>
      </c>
      <c r="V71" s="6">
        <f t="shared" si="8"/>
        <v>3.16</v>
      </c>
      <c r="W71" s="6">
        <v>2</v>
      </c>
      <c r="X71" s="6">
        <v>2.5</v>
      </c>
      <c r="Y71" s="6">
        <v>3.16</v>
      </c>
      <c r="Z71" s="11" t="s">
        <v>227</v>
      </c>
    </row>
    <row r="72" spans="1:26" ht="84">
      <c r="A72" s="4">
        <v>7</v>
      </c>
      <c r="B72" s="4" t="s">
        <v>163</v>
      </c>
      <c r="C72" s="5" t="s">
        <v>48</v>
      </c>
      <c r="D72" s="5" t="s">
        <v>124</v>
      </c>
      <c r="E72" s="5" t="s">
        <v>51</v>
      </c>
      <c r="F72" s="5" t="s">
        <v>199</v>
      </c>
      <c r="G72" s="5" t="s">
        <v>165</v>
      </c>
      <c r="H72" s="5" t="s">
        <v>53</v>
      </c>
      <c r="I72" s="5">
        <v>230</v>
      </c>
      <c r="J72" s="5">
        <v>180</v>
      </c>
      <c r="K72" s="5">
        <v>1</v>
      </c>
      <c r="L72" s="6">
        <v>4</v>
      </c>
      <c r="M72" s="5"/>
      <c r="N72" s="5">
        <v>0</v>
      </c>
      <c r="O72" s="5">
        <v>1</v>
      </c>
      <c r="P72" s="5"/>
      <c r="Q72" s="6"/>
      <c r="R72" s="6" t="s">
        <v>200</v>
      </c>
      <c r="S72" s="6">
        <f>0.5+0.2</f>
        <v>0.7</v>
      </c>
      <c r="T72" s="6"/>
      <c r="U72" s="6">
        <f t="shared" si="7"/>
        <v>0.7</v>
      </c>
      <c r="V72" s="6">
        <f t="shared" si="8"/>
        <v>3.3</v>
      </c>
      <c r="W72" s="6">
        <v>0.7</v>
      </c>
      <c r="X72" s="6">
        <v>0.7</v>
      </c>
      <c r="Y72" s="6">
        <v>3.3</v>
      </c>
      <c r="Z72" s="11" t="s">
        <v>227</v>
      </c>
    </row>
    <row r="73" spans="1:26" ht="84">
      <c r="A73" s="4">
        <v>7</v>
      </c>
      <c r="B73" s="4" t="s">
        <v>163</v>
      </c>
      <c r="C73" s="5" t="s">
        <v>48</v>
      </c>
      <c r="D73" s="5" t="s">
        <v>124</v>
      </c>
      <c r="E73" s="5" t="s">
        <v>51</v>
      </c>
      <c r="F73" s="5" t="s">
        <v>199</v>
      </c>
      <c r="G73" s="5" t="s">
        <v>165</v>
      </c>
      <c r="H73" s="5" t="s">
        <v>53</v>
      </c>
      <c r="I73" s="5">
        <v>190</v>
      </c>
      <c r="J73" s="5">
        <v>170</v>
      </c>
      <c r="K73" s="5">
        <v>1</v>
      </c>
      <c r="L73" s="6">
        <v>4</v>
      </c>
      <c r="M73" s="5"/>
      <c r="N73" s="5">
        <v>0</v>
      </c>
      <c r="O73" s="5">
        <v>1</v>
      </c>
      <c r="P73" s="5"/>
      <c r="Q73" s="6"/>
      <c r="R73" s="6" t="s">
        <v>200</v>
      </c>
      <c r="S73" s="6">
        <f>0.5+0.2</f>
        <v>0.7</v>
      </c>
      <c r="T73" s="6"/>
      <c r="U73" s="6">
        <f t="shared" si="7"/>
        <v>0.7</v>
      </c>
      <c r="V73" s="6">
        <f t="shared" si="8"/>
        <v>3.3</v>
      </c>
      <c r="W73" s="6">
        <v>0.7</v>
      </c>
      <c r="X73" s="6">
        <v>0.7</v>
      </c>
      <c r="Y73" s="6">
        <v>3.3</v>
      </c>
      <c r="Z73" s="11" t="s">
        <v>227</v>
      </c>
    </row>
    <row r="74" spans="1:26" ht="60">
      <c r="A74" s="4">
        <v>7</v>
      </c>
      <c r="B74" s="4" t="s">
        <v>163</v>
      </c>
      <c r="C74" s="5" t="s">
        <v>48</v>
      </c>
      <c r="D74" s="5" t="s">
        <v>124</v>
      </c>
      <c r="E74" s="5" t="s">
        <v>51</v>
      </c>
      <c r="F74" s="5" t="s">
        <v>196</v>
      </c>
      <c r="G74" s="5">
        <v>256</v>
      </c>
      <c r="H74" s="5" t="s">
        <v>53</v>
      </c>
      <c r="I74" s="5">
        <v>124</v>
      </c>
      <c r="J74" s="5">
        <v>124</v>
      </c>
      <c r="K74" s="5">
        <v>100</v>
      </c>
      <c r="L74" s="6">
        <v>4.09</v>
      </c>
      <c r="M74" s="5"/>
      <c r="N74" s="5">
        <v>0</v>
      </c>
      <c r="O74" s="5">
        <v>0</v>
      </c>
      <c r="P74" s="5" t="s">
        <v>108</v>
      </c>
      <c r="Q74" s="6">
        <v>0.5</v>
      </c>
      <c r="R74" s="6" t="s">
        <v>195</v>
      </c>
      <c r="S74" s="6">
        <f>((G74/1000)-0.5+0.5)</f>
        <v>0.256</v>
      </c>
      <c r="T74" s="6">
        <v>130</v>
      </c>
      <c r="U74" s="6">
        <f t="shared" si="7"/>
        <v>0.756</v>
      </c>
      <c r="V74" s="6">
        <f t="shared" si="8"/>
        <v>3.3339999999999996</v>
      </c>
      <c r="W74" s="6">
        <v>0.256</v>
      </c>
      <c r="X74" s="6">
        <v>0.756</v>
      </c>
      <c r="Y74" s="6">
        <v>3.3339999999999996</v>
      </c>
      <c r="Z74" s="11" t="s">
        <v>227</v>
      </c>
    </row>
    <row r="75" spans="1:26" ht="24">
      <c r="A75" s="4">
        <v>7</v>
      </c>
      <c r="B75" s="4" t="s">
        <v>163</v>
      </c>
      <c r="C75" s="5" t="s">
        <v>48</v>
      </c>
      <c r="D75" s="5" t="s">
        <v>124</v>
      </c>
      <c r="E75" s="5" t="s">
        <v>51</v>
      </c>
      <c r="F75" s="5" t="s">
        <v>173</v>
      </c>
      <c r="G75" s="5">
        <v>0.008</v>
      </c>
      <c r="H75" s="5" t="s">
        <v>53</v>
      </c>
      <c r="I75" s="5">
        <v>25</v>
      </c>
      <c r="J75" s="5">
        <v>13</v>
      </c>
      <c r="K75" s="5">
        <v>7.8</v>
      </c>
      <c r="L75" s="6">
        <v>3.38</v>
      </c>
      <c r="M75" s="5"/>
      <c r="N75" s="5">
        <v>0.24</v>
      </c>
      <c r="O75" s="5">
        <v>0.24</v>
      </c>
      <c r="P75" s="5"/>
      <c r="Q75" s="6"/>
      <c r="R75" s="6"/>
      <c r="S75" s="6"/>
      <c r="T75" s="6"/>
      <c r="U75" s="6"/>
      <c r="V75" s="6">
        <f>L75</f>
        <v>3.38</v>
      </c>
      <c r="W75" s="6"/>
      <c r="X75" s="6"/>
      <c r="Y75" s="6">
        <v>3.38</v>
      </c>
      <c r="Z75" s="11" t="s">
        <v>227</v>
      </c>
    </row>
    <row r="76" spans="1:26" ht="36">
      <c r="A76" s="4">
        <v>7</v>
      </c>
      <c r="B76" s="4" t="s">
        <v>163</v>
      </c>
      <c r="C76" s="5" t="s">
        <v>48</v>
      </c>
      <c r="D76" s="5" t="s">
        <v>124</v>
      </c>
      <c r="E76" s="5" t="s">
        <v>51</v>
      </c>
      <c r="F76" s="5" t="s">
        <v>69</v>
      </c>
      <c r="G76" s="5">
        <v>64</v>
      </c>
      <c r="H76" s="5" t="s">
        <v>27</v>
      </c>
      <c r="I76" s="5">
        <v>35</v>
      </c>
      <c r="J76" s="5">
        <v>35</v>
      </c>
      <c r="K76" s="5">
        <v>22.8</v>
      </c>
      <c r="L76" s="6">
        <v>5.97</v>
      </c>
      <c r="M76" s="5"/>
      <c r="N76" s="5">
        <v>0.09</v>
      </c>
      <c r="O76" s="5">
        <v>0.09</v>
      </c>
      <c r="P76" s="5" t="s">
        <v>58</v>
      </c>
      <c r="Q76" s="6">
        <f>0.5</f>
        <v>0.5</v>
      </c>
      <c r="R76" s="6" t="s">
        <v>164</v>
      </c>
      <c r="S76" s="6">
        <v>2</v>
      </c>
      <c r="T76" s="6">
        <v>36</v>
      </c>
      <c r="U76" s="6">
        <f>Q76+S76</f>
        <v>2.5</v>
      </c>
      <c r="V76" s="6">
        <f>L76-U76</f>
        <v>3.4699999999999998</v>
      </c>
      <c r="W76" s="6">
        <v>2</v>
      </c>
      <c r="X76" s="6">
        <v>2.5</v>
      </c>
      <c r="Y76" s="6">
        <v>3.47</v>
      </c>
      <c r="Z76" s="11" t="s">
        <v>227</v>
      </c>
    </row>
    <row r="77" spans="1:26" ht="36">
      <c r="A77" s="4">
        <v>7</v>
      </c>
      <c r="B77" s="4" t="s">
        <v>163</v>
      </c>
      <c r="C77" s="5" t="s">
        <v>48</v>
      </c>
      <c r="D77" s="5" t="s">
        <v>124</v>
      </c>
      <c r="E77" s="5" t="s">
        <v>51</v>
      </c>
      <c r="F77" s="5" t="s">
        <v>69</v>
      </c>
      <c r="G77" s="5">
        <v>64</v>
      </c>
      <c r="H77" s="5" t="s">
        <v>27</v>
      </c>
      <c r="I77" s="5">
        <v>35</v>
      </c>
      <c r="J77" s="5">
        <v>35</v>
      </c>
      <c r="K77" s="5">
        <v>22.8</v>
      </c>
      <c r="L77" s="6">
        <v>5.97</v>
      </c>
      <c r="M77" s="5"/>
      <c r="N77" s="5">
        <v>0.09</v>
      </c>
      <c r="O77" s="5">
        <v>0.09</v>
      </c>
      <c r="P77" s="5" t="s">
        <v>58</v>
      </c>
      <c r="Q77" s="6">
        <f>0.5</f>
        <v>0.5</v>
      </c>
      <c r="R77" s="6" t="s">
        <v>164</v>
      </c>
      <c r="S77" s="6">
        <v>2</v>
      </c>
      <c r="T77" s="6">
        <v>36</v>
      </c>
      <c r="U77" s="6">
        <f>Q77+S77</f>
        <v>2.5</v>
      </c>
      <c r="V77" s="6">
        <f>L77-U77</f>
        <v>3.4699999999999998</v>
      </c>
      <c r="W77" s="6">
        <v>2</v>
      </c>
      <c r="X77" s="6">
        <v>2.5</v>
      </c>
      <c r="Y77" s="6">
        <v>3.47</v>
      </c>
      <c r="Z77" s="11" t="s">
        <v>227</v>
      </c>
    </row>
    <row r="78" spans="1:26" ht="108">
      <c r="A78" s="4">
        <v>7</v>
      </c>
      <c r="B78" s="4" t="s">
        <v>163</v>
      </c>
      <c r="C78" s="5" t="s">
        <v>23</v>
      </c>
      <c r="D78" s="5" t="s">
        <v>124</v>
      </c>
      <c r="E78" s="5" t="s">
        <v>51</v>
      </c>
      <c r="F78" s="5" t="s">
        <v>189</v>
      </c>
      <c r="G78" s="5">
        <v>1024</v>
      </c>
      <c r="H78" s="5" t="s">
        <v>27</v>
      </c>
      <c r="I78" s="5">
        <v>14</v>
      </c>
      <c r="J78" s="5">
        <v>14</v>
      </c>
      <c r="K78" s="5">
        <v>80</v>
      </c>
      <c r="L78" s="6">
        <v>7.5</v>
      </c>
      <c r="M78" s="5"/>
      <c r="N78" s="5">
        <v>0</v>
      </c>
      <c r="O78" s="5">
        <v>7</v>
      </c>
      <c r="P78" s="5" t="s">
        <v>87</v>
      </c>
      <c r="Q78" s="6">
        <f>0.5+1.5</f>
        <v>2</v>
      </c>
      <c r="R78" s="6" t="s">
        <v>190</v>
      </c>
      <c r="S78" s="6">
        <f>((G78/1000)+(0.05*(T78-10))+0.5+0.2+0.2)</f>
        <v>21.424</v>
      </c>
      <c r="T78" s="6">
        <v>400</v>
      </c>
      <c r="U78" s="6">
        <f>Q78+S78</f>
        <v>23.424</v>
      </c>
      <c r="V78" s="6">
        <f>L78-U78</f>
        <v>-15.924</v>
      </c>
      <c r="W78" s="6">
        <v>1.924</v>
      </c>
      <c r="X78" s="6">
        <v>3.924</v>
      </c>
      <c r="Y78" s="6">
        <v>3.576</v>
      </c>
      <c r="Z78" s="11" t="s">
        <v>226</v>
      </c>
    </row>
    <row r="79" spans="1:26" ht="24">
      <c r="A79" s="4">
        <v>7</v>
      </c>
      <c r="B79" s="4" t="s">
        <v>163</v>
      </c>
      <c r="C79" s="5" t="s">
        <v>133</v>
      </c>
      <c r="D79" s="5" t="s">
        <v>124</v>
      </c>
      <c r="E79" s="5" t="s">
        <v>51</v>
      </c>
      <c r="F79" s="5" t="s">
        <v>174</v>
      </c>
      <c r="G79" s="5">
        <v>0.016</v>
      </c>
      <c r="H79" s="5" t="s">
        <v>53</v>
      </c>
      <c r="I79" s="5">
        <v>14</v>
      </c>
      <c r="J79" s="5">
        <v>5</v>
      </c>
      <c r="K79" s="5">
        <v>5.38</v>
      </c>
      <c r="L79" s="6">
        <v>3.59</v>
      </c>
      <c r="M79" s="5"/>
      <c r="N79" s="5">
        <v>0.24</v>
      </c>
      <c r="O79" s="5">
        <v>0.24</v>
      </c>
      <c r="P79" s="5"/>
      <c r="Q79" s="6"/>
      <c r="R79" s="6"/>
      <c r="S79" s="6"/>
      <c r="T79" s="6"/>
      <c r="U79" s="6"/>
      <c r="V79" s="6">
        <f>L79</f>
        <v>3.59</v>
      </c>
      <c r="W79" s="6"/>
      <c r="X79" s="6"/>
      <c r="Y79" s="6">
        <v>3.59</v>
      </c>
      <c r="Z79" s="11" t="s">
        <v>227</v>
      </c>
    </row>
    <row r="80" spans="1:26" ht="36">
      <c r="A80" s="4">
        <v>7</v>
      </c>
      <c r="B80" s="4" t="s">
        <v>163</v>
      </c>
      <c r="C80" s="5" t="s">
        <v>48</v>
      </c>
      <c r="D80" s="5" t="s">
        <v>124</v>
      </c>
      <c r="E80" s="5" t="s">
        <v>51</v>
      </c>
      <c r="F80" s="5" t="s">
        <v>180</v>
      </c>
      <c r="G80" s="5" t="s">
        <v>124</v>
      </c>
      <c r="H80" s="5" t="s">
        <v>27</v>
      </c>
      <c r="I80" s="5">
        <v>70</v>
      </c>
      <c r="J80" s="5">
        <v>70</v>
      </c>
      <c r="K80" s="5">
        <v>28.2</v>
      </c>
      <c r="L80" s="6">
        <v>6.1</v>
      </c>
      <c r="M80" s="5"/>
      <c r="N80" s="5">
        <v>0.31</v>
      </c>
      <c r="O80" s="5">
        <v>0.31</v>
      </c>
      <c r="P80" s="5" t="s">
        <v>58</v>
      </c>
      <c r="Q80" s="6">
        <f>0.5</f>
        <v>0.5</v>
      </c>
      <c r="R80" s="6" t="s">
        <v>164</v>
      </c>
      <c r="S80" s="6">
        <v>2</v>
      </c>
      <c r="T80" s="6">
        <v>80</v>
      </c>
      <c r="U80" s="6">
        <f>Q80+S80</f>
        <v>2.5</v>
      </c>
      <c r="V80" s="6">
        <f>L80-U80</f>
        <v>3.5999999999999996</v>
      </c>
      <c r="W80" s="6">
        <v>2</v>
      </c>
      <c r="X80" s="6">
        <v>2.5</v>
      </c>
      <c r="Y80" s="6">
        <v>3.6</v>
      </c>
      <c r="Z80" s="11" t="s">
        <v>227</v>
      </c>
    </row>
    <row r="81" spans="1:26" ht="84">
      <c r="A81" s="4">
        <v>7</v>
      </c>
      <c r="B81" s="4" t="s">
        <v>163</v>
      </c>
      <c r="C81" s="5" t="s">
        <v>48</v>
      </c>
      <c r="D81" s="5" t="s">
        <v>124</v>
      </c>
      <c r="E81" s="5" t="s">
        <v>51</v>
      </c>
      <c r="F81" s="5" t="s">
        <v>201</v>
      </c>
      <c r="G81" s="5" t="s">
        <v>165</v>
      </c>
      <c r="H81" s="5" t="s">
        <v>53</v>
      </c>
      <c r="I81" s="5">
        <v>65</v>
      </c>
      <c r="J81" s="5">
        <v>50</v>
      </c>
      <c r="K81" s="5">
        <v>1</v>
      </c>
      <c r="L81" s="6">
        <v>4.3</v>
      </c>
      <c r="M81" s="5"/>
      <c r="N81" s="5">
        <v>0</v>
      </c>
      <c r="O81" s="5">
        <v>1</v>
      </c>
      <c r="P81" s="5"/>
      <c r="Q81" s="6"/>
      <c r="R81" s="6" t="s">
        <v>200</v>
      </c>
      <c r="S81" s="6">
        <f>0.5+0.2</f>
        <v>0.7</v>
      </c>
      <c r="T81" s="6"/>
      <c r="U81" s="6">
        <f>Q81+S81</f>
        <v>0.7</v>
      </c>
      <c r="V81" s="6">
        <f>L81-U81</f>
        <v>3.5999999999999996</v>
      </c>
      <c r="W81" s="6">
        <v>0.7</v>
      </c>
      <c r="X81" s="6">
        <v>0.7</v>
      </c>
      <c r="Y81" s="6">
        <v>3.6</v>
      </c>
      <c r="Z81" s="11" t="s">
        <v>227</v>
      </c>
    </row>
    <row r="82" spans="1:26" ht="24">
      <c r="A82" s="4">
        <v>7</v>
      </c>
      <c r="B82" s="4" t="s">
        <v>163</v>
      </c>
      <c r="C82" s="5" t="s">
        <v>133</v>
      </c>
      <c r="D82" s="5" t="s">
        <v>124</v>
      </c>
      <c r="E82" s="5" t="s">
        <v>51</v>
      </c>
      <c r="F82" s="5" t="s">
        <v>174</v>
      </c>
      <c r="G82" s="5">
        <v>0.016</v>
      </c>
      <c r="H82" s="5" t="s">
        <v>53</v>
      </c>
      <c r="I82" s="5">
        <v>6</v>
      </c>
      <c r="J82" s="5">
        <v>3</v>
      </c>
      <c r="K82" s="5">
        <v>5.38</v>
      </c>
      <c r="L82" s="6">
        <v>3.66</v>
      </c>
      <c r="M82" s="5"/>
      <c r="N82" s="5">
        <v>0.27</v>
      </c>
      <c r="O82" s="5">
        <v>0.27</v>
      </c>
      <c r="P82" s="5"/>
      <c r="Q82" s="6"/>
      <c r="R82" s="6"/>
      <c r="S82" s="6"/>
      <c r="T82" s="6"/>
      <c r="U82" s="6"/>
      <c r="V82" s="6">
        <f>L82</f>
        <v>3.66</v>
      </c>
      <c r="W82" s="6"/>
      <c r="X82" s="6"/>
      <c r="Y82" s="6">
        <v>3.66</v>
      </c>
      <c r="Z82" s="11" t="s">
        <v>227</v>
      </c>
    </row>
    <row r="83" spans="1:26" ht="12.75">
      <c r="A83" s="4">
        <v>7</v>
      </c>
      <c r="B83" s="4" t="s">
        <v>163</v>
      </c>
      <c r="C83" s="5" t="s">
        <v>48</v>
      </c>
      <c r="D83" s="5" t="s">
        <v>124</v>
      </c>
      <c r="E83" s="5" t="s">
        <v>51</v>
      </c>
      <c r="F83" s="5" t="s">
        <v>50</v>
      </c>
      <c r="G83" s="5">
        <v>2</v>
      </c>
      <c r="H83" s="5" t="s">
        <v>27</v>
      </c>
      <c r="I83" s="5">
        <v>12</v>
      </c>
      <c r="J83" s="5">
        <v>11</v>
      </c>
      <c r="K83" s="5">
        <v>0.24</v>
      </c>
      <c r="L83" s="6">
        <v>3.7</v>
      </c>
      <c r="M83" s="5"/>
      <c r="N83" s="5">
        <v>0.24</v>
      </c>
      <c r="O83" s="5">
        <v>0.24</v>
      </c>
      <c r="P83" s="5"/>
      <c r="Q83" s="6"/>
      <c r="R83" s="6"/>
      <c r="S83" s="6"/>
      <c r="T83" s="6">
        <v>18</v>
      </c>
      <c r="U83" s="6"/>
      <c r="V83" s="6">
        <f>L83</f>
        <v>3.7</v>
      </c>
      <c r="W83" s="6"/>
      <c r="X83" s="6"/>
      <c r="Y83" s="6">
        <v>3.7</v>
      </c>
      <c r="Z83" s="11" t="s">
        <v>227</v>
      </c>
    </row>
    <row r="84" spans="1:26" ht="84">
      <c r="A84" s="4">
        <v>7</v>
      </c>
      <c r="B84" s="4" t="s">
        <v>163</v>
      </c>
      <c r="C84" s="5" t="s">
        <v>48</v>
      </c>
      <c r="D84" s="5" t="s">
        <v>124</v>
      </c>
      <c r="E84" s="5" t="s">
        <v>51</v>
      </c>
      <c r="F84" s="5" t="s">
        <v>206</v>
      </c>
      <c r="G84" s="5" t="s">
        <v>165</v>
      </c>
      <c r="H84" s="5" t="s">
        <v>53</v>
      </c>
      <c r="I84" s="5">
        <v>100</v>
      </c>
      <c r="J84" s="5">
        <v>50</v>
      </c>
      <c r="K84" s="5">
        <v>1</v>
      </c>
      <c r="L84" s="6">
        <v>4.4</v>
      </c>
      <c r="M84" s="5"/>
      <c r="N84" s="5">
        <v>0</v>
      </c>
      <c r="O84" s="5">
        <v>1</v>
      </c>
      <c r="P84" s="5"/>
      <c r="Q84" s="6"/>
      <c r="R84" s="6" t="s">
        <v>200</v>
      </c>
      <c r="S84" s="6">
        <f>0.5+0.2</f>
        <v>0.7</v>
      </c>
      <c r="T84" s="6"/>
      <c r="U84" s="6">
        <f>Q84+S84</f>
        <v>0.7</v>
      </c>
      <c r="V84" s="6">
        <f>L84-U84</f>
        <v>3.7</v>
      </c>
      <c r="W84" s="6">
        <v>0.7</v>
      </c>
      <c r="X84" s="6">
        <v>0.7</v>
      </c>
      <c r="Y84" s="6">
        <v>3.7</v>
      </c>
      <c r="Z84" s="11" t="s">
        <v>227</v>
      </c>
    </row>
    <row r="85" spans="1:26" ht="48">
      <c r="A85" s="4">
        <v>7</v>
      </c>
      <c r="B85" s="4" t="s">
        <v>163</v>
      </c>
      <c r="C85" s="5" t="s">
        <v>48</v>
      </c>
      <c r="D85" s="5" t="s">
        <v>124</v>
      </c>
      <c r="E85" s="5" t="s">
        <v>51</v>
      </c>
      <c r="F85" s="5" t="s">
        <v>197</v>
      </c>
      <c r="G85" s="5">
        <v>32</v>
      </c>
      <c r="H85" s="5" t="s">
        <v>53</v>
      </c>
      <c r="I85" s="5">
        <v>40</v>
      </c>
      <c r="J85" s="5">
        <v>40</v>
      </c>
      <c r="K85" s="5">
        <v>20.9</v>
      </c>
      <c r="L85" s="6">
        <v>5.91</v>
      </c>
      <c r="M85" s="5"/>
      <c r="N85" s="5">
        <v>0.1</v>
      </c>
      <c r="O85" s="5">
        <v>0.1</v>
      </c>
      <c r="P85" s="5" t="s">
        <v>58</v>
      </c>
      <c r="Q85" s="6">
        <f>0.5</f>
        <v>0.5</v>
      </c>
      <c r="R85" s="6" t="s">
        <v>192</v>
      </c>
      <c r="S85" s="6">
        <f>((G85/1000)-0.5+2)</f>
        <v>1.532</v>
      </c>
      <c r="T85" s="6">
        <v>48</v>
      </c>
      <c r="U85" s="6">
        <f>Q85+S85</f>
        <v>2.032</v>
      </c>
      <c r="V85" s="6">
        <f>L85-U85</f>
        <v>3.878</v>
      </c>
      <c r="W85" s="6">
        <v>1.532</v>
      </c>
      <c r="X85" s="6">
        <v>2.032</v>
      </c>
      <c r="Y85" s="6">
        <v>3.878</v>
      </c>
      <c r="Z85" s="11" t="s">
        <v>227</v>
      </c>
    </row>
    <row r="86" spans="1:26" ht="72">
      <c r="A86" s="4">
        <v>7</v>
      </c>
      <c r="B86" s="4" t="s">
        <v>163</v>
      </c>
      <c r="C86" s="5" t="s">
        <v>133</v>
      </c>
      <c r="D86" s="5" t="s">
        <v>124</v>
      </c>
      <c r="E86" s="5" t="s">
        <v>51</v>
      </c>
      <c r="F86" s="5" t="s">
        <v>207</v>
      </c>
      <c r="G86" s="5">
        <v>2</v>
      </c>
      <c r="H86" s="5" t="s">
        <v>53</v>
      </c>
      <c r="I86" s="5">
        <v>120</v>
      </c>
      <c r="J86" s="5">
        <v>45</v>
      </c>
      <c r="K86" s="5">
        <v>5.09</v>
      </c>
      <c r="L86" s="6">
        <v>5.09</v>
      </c>
      <c r="M86" s="5"/>
      <c r="N86" s="5">
        <v>0.06</v>
      </c>
      <c r="O86" s="5">
        <v>0.06</v>
      </c>
      <c r="P86" s="5" t="s">
        <v>58</v>
      </c>
      <c r="Q86" s="6">
        <f>0.5</f>
        <v>0.5</v>
      </c>
      <c r="R86" s="6" t="s">
        <v>61</v>
      </c>
      <c r="S86" s="6">
        <f>(0.05*(T86-10))+0.5</f>
        <v>3</v>
      </c>
      <c r="T86" s="6">
        <v>60</v>
      </c>
      <c r="U86" s="6">
        <f>Q86+S86</f>
        <v>3.5</v>
      </c>
      <c r="V86" s="6">
        <f>L86-U86</f>
        <v>1.5899999999999999</v>
      </c>
      <c r="W86" s="6">
        <v>0.5</v>
      </c>
      <c r="X86" s="6">
        <v>1</v>
      </c>
      <c r="Y86" s="6">
        <v>4.09</v>
      </c>
      <c r="Z86" s="11" t="s">
        <v>227</v>
      </c>
    </row>
    <row r="87" spans="1:26" ht="12.75">
      <c r="A87" s="4">
        <v>7</v>
      </c>
      <c r="B87" s="4" t="s">
        <v>163</v>
      </c>
      <c r="C87" s="5" t="s">
        <v>48</v>
      </c>
      <c r="D87" s="5" t="s">
        <v>124</v>
      </c>
      <c r="E87" s="5" t="s">
        <v>51</v>
      </c>
      <c r="F87" s="5" t="s">
        <v>175</v>
      </c>
      <c r="G87" s="5">
        <v>0.132</v>
      </c>
      <c r="H87" s="5" t="s">
        <v>53</v>
      </c>
      <c r="I87" s="5">
        <v>50</v>
      </c>
      <c r="J87" s="5">
        <v>50</v>
      </c>
      <c r="K87" s="5">
        <v>21.6</v>
      </c>
      <c r="L87" s="6">
        <v>4.18</v>
      </c>
      <c r="M87" s="5"/>
      <c r="N87" s="5">
        <v>0</v>
      </c>
      <c r="O87" s="5">
        <v>0</v>
      </c>
      <c r="P87" s="5"/>
      <c r="Q87" s="6"/>
      <c r="R87" s="6"/>
      <c r="S87" s="6"/>
      <c r="T87" s="6"/>
      <c r="U87" s="6"/>
      <c r="V87" s="6">
        <f>L87</f>
        <v>4.18</v>
      </c>
      <c r="W87" s="6"/>
      <c r="X87" s="6"/>
      <c r="Y87" s="6">
        <v>4.18</v>
      </c>
      <c r="Z87" s="11" t="s">
        <v>227</v>
      </c>
    </row>
    <row r="88" spans="1:26" ht="84">
      <c r="A88" s="4">
        <v>7</v>
      </c>
      <c r="B88" s="4" t="s">
        <v>163</v>
      </c>
      <c r="C88" s="5" t="s">
        <v>48</v>
      </c>
      <c r="D88" s="5" t="s">
        <v>124</v>
      </c>
      <c r="E88" s="5" t="s">
        <v>51</v>
      </c>
      <c r="F88" s="5" t="s">
        <v>205</v>
      </c>
      <c r="G88" s="5" t="s">
        <v>165</v>
      </c>
      <c r="H88" s="5" t="s">
        <v>53</v>
      </c>
      <c r="I88" s="5">
        <v>43</v>
      </c>
      <c r="J88" s="5">
        <v>19</v>
      </c>
      <c r="K88" s="5">
        <v>0.5</v>
      </c>
      <c r="L88" s="6">
        <v>5.2</v>
      </c>
      <c r="M88" s="5"/>
      <c r="N88" s="5">
        <v>0.1</v>
      </c>
      <c r="O88" s="5">
        <v>0.5</v>
      </c>
      <c r="P88" s="5"/>
      <c r="Q88" s="6"/>
      <c r="R88" s="6" t="s">
        <v>200</v>
      </c>
      <c r="S88" s="6">
        <f>0.5+0.2</f>
        <v>0.7</v>
      </c>
      <c r="T88" s="6"/>
      <c r="U88" s="6">
        <f>Q88+S88</f>
        <v>0.7</v>
      </c>
      <c r="V88" s="6">
        <f>L88-U88</f>
        <v>4.5</v>
      </c>
      <c r="W88" s="6">
        <v>0.7</v>
      </c>
      <c r="X88" s="6">
        <v>0.7</v>
      </c>
      <c r="Y88" s="6">
        <v>4.5</v>
      </c>
      <c r="Z88" s="11" t="s">
        <v>227</v>
      </c>
    </row>
    <row r="89" spans="1:26" ht="24">
      <c r="A89" s="4">
        <v>7</v>
      </c>
      <c r="B89" s="4" t="s">
        <v>163</v>
      </c>
      <c r="C89" s="5" t="s">
        <v>48</v>
      </c>
      <c r="D89" s="5" t="s">
        <v>124</v>
      </c>
      <c r="E89" s="5" t="s">
        <v>51</v>
      </c>
      <c r="F89" s="5" t="s">
        <v>176</v>
      </c>
      <c r="G89" s="5">
        <v>0.136</v>
      </c>
      <c r="H89" s="5" t="s">
        <v>53</v>
      </c>
      <c r="I89" s="5">
        <v>20</v>
      </c>
      <c r="J89" s="5">
        <v>18</v>
      </c>
      <c r="K89" s="5">
        <v>6.6</v>
      </c>
      <c r="L89" s="6">
        <v>4.65</v>
      </c>
      <c r="M89" s="5"/>
      <c r="N89" s="5">
        <v>0.05</v>
      </c>
      <c r="O89" s="5">
        <v>0.05</v>
      </c>
      <c r="P89" s="5"/>
      <c r="Q89" s="6"/>
      <c r="R89" s="6"/>
      <c r="S89" s="6"/>
      <c r="T89" s="6"/>
      <c r="U89" s="6"/>
      <c r="V89" s="6">
        <f>L89</f>
        <v>4.65</v>
      </c>
      <c r="W89" s="6"/>
      <c r="X89" s="6"/>
      <c r="Y89" s="6">
        <v>4.65</v>
      </c>
      <c r="Z89" s="11" t="s">
        <v>227</v>
      </c>
    </row>
    <row r="90" spans="1:26" ht="24">
      <c r="A90" s="4">
        <v>7</v>
      </c>
      <c r="B90" s="4" t="s">
        <v>163</v>
      </c>
      <c r="C90" s="5" t="s">
        <v>48</v>
      </c>
      <c r="D90" s="5" t="s">
        <v>124</v>
      </c>
      <c r="E90" s="5" t="s">
        <v>51</v>
      </c>
      <c r="F90" s="5" t="s">
        <v>177</v>
      </c>
      <c r="G90" s="5">
        <v>0.032</v>
      </c>
      <c r="H90" s="5" t="s">
        <v>27</v>
      </c>
      <c r="I90" s="5">
        <v>12</v>
      </c>
      <c r="J90" s="5">
        <v>11</v>
      </c>
      <c r="K90" s="5">
        <v>11.86</v>
      </c>
      <c r="L90" s="6">
        <v>4.96</v>
      </c>
      <c r="M90" s="5"/>
      <c r="N90" s="5">
        <v>0.44</v>
      </c>
      <c r="O90" s="5">
        <v>0.44</v>
      </c>
      <c r="P90" s="5"/>
      <c r="Q90" s="6"/>
      <c r="R90" s="6"/>
      <c r="S90" s="6"/>
      <c r="T90" s="6">
        <v>0.44</v>
      </c>
      <c r="U90" s="6"/>
      <c r="V90" s="6">
        <f>L90</f>
        <v>4.96</v>
      </c>
      <c r="W90" s="6"/>
      <c r="X90" s="6"/>
      <c r="Y90" s="6">
        <v>4.96</v>
      </c>
      <c r="Z90" s="11" t="s">
        <v>227</v>
      </c>
    </row>
  </sheetData>
  <mergeCells count="1">
    <mergeCell ref="W1:Y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Z22"/>
  <sheetViews>
    <sheetView showZeros="0" zoomScale="70" zoomScaleNormal="70" workbookViewId="0" topLeftCell="Q1">
      <pane xSplit="1" ySplit="2" topLeftCell="R3" activePane="bottomRight" state="frozen"/>
      <selection pane="topLeft"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ColWidth="9.140625" defaultRowHeight="12.75"/>
  <cols>
    <col min="1" max="1" width="10.140625" style="0" customWidth="1"/>
    <col min="2" max="25" width="15.7109375" style="0" customWidth="1"/>
    <col min="26" max="26" width="15.7109375" style="9" customWidth="1"/>
  </cols>
  <sheetData>
    <row r="1" spans="1:2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5" t="s">
        <v>224</v>
      </c>
      <c r="X1" s="15"/>
      <c r="Y1" s="15"/>
      <c r="Z1" s="7"/>
    </row>
    <row r="2" spans="1:26" s="3" customFormat="1" ht="63.7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12" t="s">
        <v>18</v>
      </c>
      <c r="X2" s="12" t="s">
        <v>20</v>
      </c>
      <c r="Y2" s="12" t="s">
        <v>21</v>
      </c>
      <c r="Z2" s="10" t="s">
        <v>223</v>
      </c>
    </row>
    <row r="3" spans="1:26" ht="60">
      <c r="A3" s="4">
        <v>8</v>
      </c>
      <c r="B3" s="4" t="s">
        <v>78</v>
      </c>
      <c r="C3" s="5" t="s">
        <v>23</v>
      </c>
      <c r="D3" s="5" t="s">
        <v>147</v>
      </c>
      <c r="E3" s="5" t="s">
        <v>25</v>
      </c>
      <c r="F3" s="5" t="s">
        <v>219</v>
      </c>
      <c r="G3" s="5">
        <v>0.5</v>
      </c>
      <c r="H3" s="5" t="s">
        <v>27</v>
      </c>
      <c r="I3" s="5">
        <v>4</v>
      </c>
      <c r="J3" s="5"/>
      <c r="K3" s="5">
        <v>13.5</v>
      </c>
      <c r="L3" s="6">
        <v>8.16</v>
      </c>
      <c r="M3" s="5"/>
      <c r="N3" s="5">
        <v>0</v>
      </c>
      <c r="O3" s="5">
        <v>0</v>
      </c>
      <c r="P3" s="5" t="s">
        <v>159</v>
      </c>
      <c r="Q3" s="6">
        <f>0.3+0.3</f>
        <v>0.6</v>
      </c>
      <c r="R3" s="6" t="s">
        <v>106</v>
      </c>
      <c r="S3" s="6">
        <f>(0.05*(T3-10))</f>
        <v>7.599</v>
      </c>
      <c r="T3" s="6">
        <v>161.98</v>
      </c>
      <c r="U3" s="6">
        <f aca="true" t="shared" si="0" ref="U3:U22">Q3+S3</f>
        <v>8.199</v>
      </c>
      <c r="V3" s="6">
        <f aca="true" t="shared" si="1" ref="V3:V22">L3-U3</f>
        <v>-0.0389999999999997</v>
      </c>
      <c r="W3" s="6">
        <v>0</v>
      </c>
      <c r="X3" s="6">
        <v>0.6</v>
      </c>
      <c r="Y3" s="6">
        <v>7.56</v>
      </c>
      <c r="Z3" s="11" t="s">
        <v>225</v>
      </c>
    </row>
    <row r="4" spans="1:26" ht="60">
      <c r="A4" s="4">
        <v>8</v>
      </c>
      <c r="B4" s="4" t="s">
        <v>78</v>
      </c>
      <c r="C4" s="5" t="s">
        <v>23</v>
      </c>
      <c r="D4" s="5" t="s">
        <v>147</v>
      </c>
      <c r="E4" s="5" t="s">
        <v>25</v>
      </c>
      <c r="F4" s="5" t="s">
        <v>219</v>
      </c>
      <c r="G4" s="5">
        <v>0.5</v>
      </c>
      <c r="H4" s="5" t="s">
        <v>27</v>
      </c>
      <c r="I4" s="5">
        <v>3</v>
      </c>
      <c r="J4" s="5"/>
      <c r="K4" s="5">
        <v>15</v>
      </c>
      <c r="L4" s="6">
        <v>8.88</v>
      </c>
      <c r="M4" s="5"/>
      <c r="N4" s="5">
        <v>0</v>
      </c>
      <c r="O4" s="5">
        <v>0</v>
      </c>
      <c r="P4" s="5" t="s">
        <v>159</v>
      </c>
      <c r="Q4" s="6">
        <f>0.3+0.3</f>
        <v>0.6</v>
      </c>
      <c r="R4" s="6" t="s">
        <v>160</v>
      </c>
      <c r="S4" s="6">
        <f>((0.05*(T4-10))+0.2)</f>
        <v>7.799</v>
      </c>
      <c r="T4" s="6">
        <v>161.98</v>
      </c>
      <c r="U4" s="6">
        <f t="shared" si="0"/>
        <v>8.399000000000001</v>
      </c>
      <c r="V4" s="6">
        <f t="shared" si="1"/>
        <v>0.48099999999999987</v>
      </c>
      <c r="W4" s="6">
        <v>0.2</v>
      </c>
      <c r="X4" s="6">
        <v>0.8</v>
      </c>
      <c r="Y4" s="6">
        <v>8.08</v>
      </c>
      <c r="Z4" s="11" t="s">
        <v>225</v>
      </c>
    </row>
    <row r="5" spans="1:26" ht="60">
      <c r="A5" s="4">
        <v>8</v>
      </c>
      <c r="B5" s="4" t="s">
        <v>78</v>
      </c>
      <c r="C5" s="5" t="s">
        <v>23</v>
      </c>
      <c r="D5" s="5" t="s">
        <v>147</v>
      </c>
      <c r="E5" s="5" t="s">
        <v>25</v>
      </c>
      <c r="F5" s="5" t="s">
        <v>221</v>
      </c>
      <c r="G5" s="5">
        <v>0.5</v>
      </c>
      <c r="H5" s="5" t="s">
        <v>27</v>
      </c>
      <c r="I5" s="5">
        <v>8</v>
      </c>
      <c r="J5" s="5"/>
      <c r="K5" s="5">
        <v>35</v>
      </c>
      <c r="L5" s="6">
        <v>9.36</v>
      </c>
      <c r="M5" s="5"/>
      <c r="N5" s="5">
        <v>0</v>
      </c>
      <c r="O5" s="5">
        <v>0</v>
      </c>
      <c r="P5" s="5" t="s">
        <v>159</v>
      </c>
      <c r="Q5" s="6">
        <f>0.3+0.3</f>
        <v>0.6</v>
      </c>
      <c r="R5" s="6" t="s">
        <v>106</v>
      </c>
      <c r="S5" s="6">
        <f>(0.05*(T5-10))</f>
        <v>6.055</v>
      </c>
      <c r="T5" s="6">
        <v>131.1</v>
      </c>
      <c r="U5" s="6">
        <f t="shared" si="0"/>
        <v>6.654999999999999</v>
      </c>
      <c r="V5" s="6">
        <f t="shared" si="1"/>
        <v>2.705</v>
      </c>
      <c r="W5" s="6">
        <v>0</v>
      </c>
      <c r="X5" s="6">
        <v>0.6</v>
      </c>
      <c r="Y5" s="6">
        <v>8.76</v>
      </c>
      <c r="Z5" s="11" t="s">
        <v>225</v>
      </c>
    </row>
    <row r="6" spans="1:26" ht="60">
      <c r="A6" s="4">
        <v>8</v>
      </c>
      <c r="B6" s="4" t="s">
        <v>78</v>
      </c>
      <c r="C6" s="5" t="s">
        <v>23</v>
      </c>
      <c r="D6" s="5" t="s">
        <v>147</v>
      </c>
      <c r="E6" s="5" t="s">
        <v>25</v>
      </c>
      <c r="F6" s="5">
        <v>16</v>
      </c>
      <c r="G6" s="5">
        <v>0.5</v>
      </c>
      <c r="H6" s="5" t="s">
        <v>27</v>
      </c>
      <c r="I6" s="5">
        <v>3</v>
      </c>
      <c r="J6" s="5"/>
      <c r="K6" s="5">
        <v>12</v>
      </c>
      <c r="L6" s="6">
        <v>11.52</v>
      </c>
      <c r="M6" s="5"/>
      <c r="N6" s="5">
        <v>0</v>
      </c>
      <c r="O6" s="5">
        <v>0</v>
      </c>
      <c r="P6" s="5" t="s">
        <v>159</v>
      </c>
      <c r="Q6" s="6">
        <f>0.3+0.3</f>
        <v>0.6</v>
      </c>
      <c r="R6" s="6" t="s">
        <v>106</v>
      </c>
      <c r="S6" s="6">
        <f>(0.05*(T6-10))</f>
        <v>5.987500000000001</v>
      </c>
      <c r="T6" s="6">
        <v>129.75</v>
      </c>
      <c r="U6" s="6">
        <f t="shared" si="0"/>
        <v>6.5875</v>
      </c>
      <c r="V6" s="6">
        <f t="shared" si="1"/>
        <v>4.932499999999999</v>
      </c>
      <c r="W6" s="6">
        <v>0</v>
      </c>
      <c r="X6" s="6">
        <v>0.6</v>
      </c>
      <c r="Y6" s="6">
        <v>10.92</v>
      </c>
      <c r="Z6" s="11" t="s">
        <v>225</v>
      </c>
    </row>
    <row r="7" spans="1:26" ht="60">
      <c r="A7" s="4">
        <v>8</v>
      </c>
      <c r="B7" s="4" t="s">
        <v>78</v>
      </c>
      <c r="C7" s="5" t="s">
        <v>23</v>
      </c>
      <c r="D7" s="5" t="s">
        <v>147</v>
      </c>
      <c r="E7" s="5" t="s">
        <v>25</v>
      </c>
      <c r="F7" s="5">
        <v>17</v>
      </c>
      <c r="G7" s="5">
        <v>8</v>
      </c>
      <c r="H7" s="5" t="s">
        <v>27</v>
      </c>
      <c r="I7" s="5">
        <v>15</v>
      </c>
      <c r="J7" s="5"/>
      <c r="K7" s="5">
        <v>93</v>
      </c>
      <c r="L7" s="6">
        <v>14</v>
      </c>
      <c r="M7" s="5"/>
      <c r="N7" s="5">
        <v>0</v>
      </c>
      <c r="O7" s="5">
        <v>14</v>
      </c>
      <c r="P7" s="5" t="s">
        <v>208</v>
      </c>
      <c r="Q7" s="6">
        <v>0.3</v>
      </c>
      <c r="R7" s="6" t="s">
        <v>209</v>
      </c>
      <c r="S7" s="6">
        <f>0.2+0.2</f>
        <v>0.4</v>
      </c>
      <c r="T7" s="6"/>
      <c r="U7" s="6">
        <f t="shared" si="0"/>
        <v>0.7</v>
      </c>
      <c r="V7" s="6">
        <f t="shared" si="1"/>
        <v>13.3</v>
      </c>
      <c r="W7" s="6">
        <v>0.4</v>
      </c>
      <c r="X7" s="6">
        <v>0.7</v>
      </c>
      <c r="Y7" s="6">
        <v>13.3</v>
      </c>
      <c r="Z7" s="11" t="s">
        <v>226</v>
      </c>
    </row>
    <row r="8" spans="1:26" ht="60">
      <c r="A8" s="4">
        <v>8</v>
      </c>
      <c r="B8" s="4" t="s">
        <v>78</v>
      </c>
      <c r="C8" s="5" t="s">
        <v>23</v>
      </c>
      <c r="D8" s="5" t="s">
        <v>147</v>
      </c>
      <c r="E8" s="5" t="s">
        <v>25</v>
      </c>
      <c r="F8" s="5" t="s">
        <v>222</v>
      </c>
      <c r="G8" s="5">
        <v>8</v>
      </c>
      <c r="H8" s="5" t="s">
        <v>27</v>
      </c>
      <c r="I8" s="5">
        <v>58</v>
      </c>
      <c r="J8" s="5"/>
      <c r="K8" s="5">
        <v>101</v>
      </c>
      <c r="L8" s="6">
        <v>14</v>
      </c>
      <c r="M8" s="5"/>
      <c r="N8" s="5">
        <v>0</v>
      </c>
      <c r="O8" s="5">
        <v>0</v>
      </c>
      <c r="P8" s="5" t="s">
        <v>208</v>
      </c>
      <c r="Q8" s="6">
        <v>0.3</v>
      </c>
      <c r="R8" s="6" t="s">
        <v>209</v>
      </c>
      <c r="S8" s="6">
        <f>0.2+0.2</f>
        <v>0.4</v>
      </c>
      <c r="T8" s="6">
        <v>584</v>
      </c>
      <c r="U8" s="6">
        <f t="shared" si="0"/>
        <v>0.7</v>
      </c>
      <c r="V8" s="6">
        <f t="shared" si="1"/>
        <v>13.3</v>
      </c>
      <c r="W8" s="6">
        <v>0.4</v>
      </c>
      <c r="X8" s="6">
        <v>0.7</v>
      </c>
      <c r="Y8" s="6">
        <v>13.3</v>
      </c>
      <c r="Z8" s="11" t="s">
        <v>225</v>
      </c>
    </row>
    <row r="9" spans="1:26" ht="60">
      <c r="A9" s="4">
        <v>8</v>
      </c>
      <c r="B9" s="4" t="s">
        <v>78</v>
      </c>
      <c r="C9" s="5" t="s">
        <v>23</v>
      </c>
      <c r="D9" s="5" t="s">
        <v>147</v>
      </c>
      <c r="E9" s="5" t="s">
        <v>25</v>
      </c>
      <c r="F9" s="5" t="s">
        <v>222</v>
      </c>
      <c r="G9" s="5">
        <v>8</v>
      </c>
      <c r="H9" s="5" t="s">
        <v>27</v>
      </c>
      <c r="I9" s="5">
        <v>58</v>
      </c>
      <c r="J9" s="5"/>
      <c r="K9" s="5">
        <v>101</v>
      </c>
      <c r="L9" s="6">
        <v>14</v>
      </c>
      <c r="M9" s="5"/>
      <c r="N9" s="5">
        <v>0</v>
      </c>
      <c r="O9" s="5">
        <v>0</v>
      </c>
      <c r="P9" s="5" t="s">
        <v>208</v>
      </c>
      <c r="Q9" s="6">
        <v>0.3</v>
      </c>
      <c r="R9" s="6" t="s">
        <v>209</v>
      </c>
      <c r="S9" s="6">
        <f>0.2+0.2</f>
        <v>0.4</v>
      </c>
      <c r="T9" s="6">
        <v>584</v>
      </c>
      <c r="U9" s="6">
        <f t="shared" si="0"/>
        <v>0.7</v>
      </c>
      <c r="V9" s="6">
        <f t="shared" si="1"/>
        <v>13.3</v>
      </c>
      <c r="W9" s="6">
        <v>0.4</v>
      </c>
      <c r="X9" s="6">
        <v>0.7</v>
      </c>
      <c r="Y9" s="6">
        <v>13.3</v>
      </c>
      <c r="Z9" s="11" t="s">
        <v>225</v>
      </c>
    </row>
    <row r="10" spans="1:26" ht="60">
      <c r="A10" s="4">
        <v>8</v>
      </c>
      <c r="B10" s="4" t="s">
        <v>78</v>
      </c>
      <c r="C10" s="5" t="s">
        <v>23</v>
      </c>
      <c r="D10" s="5" t="s">
        <v>147</v>
      </c>
      <c r="E10" s="5" t="s">
        <v>25</v>
      </c>
      <c r="F10" s="5" t="s">
        <v>220</v>
      </c>
      <c r="G10" s="5">
        <v>0.5</v>
      </c>
      <c r="H10" s="5" t="s">
        <v>27</v>
      </c>
      <c r="I10" s="5">
        <v>4</v>
      </c>
      <c r="J10" s="5"/>
      <c r="K10" s="5">
        <v>25</v>
      </c>
      <c r="L10" s="6">
        <v>14.37</v>
      </c>
      <c r="M10" s="5"/>
      <c r="N10" s="5">
        <v>0</v>
      </c>
      <c r="O10" s="5">
        <v>0</v>
      </c>
      <c r="P10" s="5" t="s">
        <v>159</v>
      </c>
      <c r="Q10" s="6">
        <f>0.3+0.3</f>
        <v>0.6</v>
      </c>
      <c r="R10" s="6" t="s">
        <v>106</v>
      </c>
      <c r="S10" s="6">
        <f>(0.05*(T10-10))</f>
        <v>6.282500000000001</v>
      </c>
      <c r="T10" s="6">
        <v>135.65</v>
      </c>
      <c r="U10" s="6">
        <f t="shared" si="0"/>
        <v>6.8825</v>
      </c>
      <c r="V10" s="6">
        <f t="shared" si="1"/>
        <v>7.487499999999999</v>
      </c>
      <c r="W10" s="6">
        <v>0</v>
      </c>
      <c r="X10" s="6">
        <v>0.6</v>
      </c>
      <c r="Y10" s="6">
        <v>13.77</v>
      </c>
      <c r="Z10" s="11" t="s">
        <v>227</v>
      </c>
    </row>
    <row r="11" spans="1:26" ht="60">
      <c r="A11" s="4">
        <v>8</v>
      </c>
      <c r="B11" s="4" t="s">
        <v>78</v>
      </c>
      <c r="C11" s="5" t="s">
        <v>23</v>
      </c>
      <c r="D11" s="5" t="s">
        <v>147</v>
      </c>
      <c r="E11" s="5" t="s">
        <v>25</v>
      </c>
      <c r="F11" s="5" t="s">
        <v>219</v>
      </c>
      <c r="G11" s="5">
        <v>0.5</v>
      </c>
      <c r="H11" s="5" t="s">
        <v>27</v>
      </c>
      <c r="I11" s="5">
        <v>4</v>
      </c>
      <c r="J11" s="5"/>
      <c r="K11" s="5">
        <v>26.5</v>
      </c>
      <c r="L11" s="6">
        <v>15.57</v>
      </c>
      <c r="M11" s="5"/>
      <c r="N11" s="5">
        <v>0</v>
      </c>
      <c r="O11" s="5">
        <v>0</v>
      </c>
      <c r="P11" s="5" t="s">
        <v>159</v>
      </c>
      <c r="Q11" s="6">
        <f>0.3+0.3</f>
        <v>0.6</v>
      </c>
      <c r="R11" s="6" t="s">
        <v>106</v>
      </c>
      <c r="S11" s="6">
        <f>(0.05*(T11-10))</f>
        <v>6.282500000000001</v>
      </c>
      <c r="T11" s="6">
        <v>135.65</v>
      </c>
      <c r="U11" s="6">
        <f t="shared" si="0"/>
        <v>6.8825</v>
      </c>
      <c r="V11" s="6">
        <f t="shared" si="1"/>
        <v>8.6875</v>
      </c>
      <c r="W11" s="6">
        <v>0</v>
      </c>
      <c r="X11" s="6">
        <v>0.6</v>
      </c>
      <c r="Y11" s="6">
        <v>14.97</v>
      </c>
      <c r="Z11" s="11" t="s">
        <v>227</v>
      </c>
    </row>
    <row r="12" spans="1:26" ht="60">
      <c r="A12" s="4">
        <v>8</v>
      </c>
      <c r="B12" s="4" t="s">
        <v>78</v>
      </c>
      <c r="C12" s="5" t="s">
        <v>23</v>
      </c>
      <c r="D12" s="5" t="s">
        <v>147</v>
      </c>
      <c r="E12" s="5" t="s">
        <v>25</v>
      </c>
      <c r="F12" s="5" t="s">
        <v>219</v>
      </c>
      <c r="G12" s="5">
        <v>0.5</v>
      </c>
      <c r="H12" s="5" t="s">
        <v>27</v>
      </c>
      <c r="I12" s="5">
        <v>4</v>
      </c>
      <c r="J12" s="5"/>
      <c r="K12" s="5">
        <v>23.8</v>
      </c>
      <c r="L12" s="6">
        <v>16.9</v>
      </c>
      <c r="M12" s="5"/>
      <c r="N12" s="5">
        <v>0</v>
      </c>
      <c r="O12" s="5">
        <v>0</v>
      </c>
      <c r="P12" s="5" t="s">
        <v>159</v>
      </c>
      <c r="Q12" s="6">
        <f>0.3+0.3</f>
        <v>0.6</v>
      </c>
      <c r="R12" s="6" t="s">
        <v>106</v>
      </c>
      <c r="S12" s="6">
        <f>(0.05*(T12-10))</f>
        <v>3.0460000000000003</v>
      </c>
      <c r="T12" s="6">
        <v>70.92</v>
      </c>
      <c r="U12" s="6">
        <f t="shared" si="0"/>
        <v>3.6460000000000004</v>
      </c>
      <c r="V12" s="6">
        <f t="shared" si="1"/>
        <v>13.253999999999998</v>
      </c>
      <c r="W12" s="6">
        <v>0</v>
      </c>
      <c r="X12" s="6">
        <v>0.6</v>
      </c>
      <c r="Y12" s="6">
        <v>16.3</v>
      </c>
      <c r="Z12" s="11" t="s">
        <v>227</v>
      </c>
    </row>
    <row r="13" spans="1:26" ht="48">
      <c r="A13" s="4">
        <v>8</v>
      </c>
      <c r="B13" s="4" t="s">
        <v>78</v>
      </c>
      <c r="C13" s="5" t="s">
        <v>23</v>
      </c>
      <c r="D13" s="5" t="s">
        <v>147</v>
      </c>
      <c r="E13" s="5" t="s">
        <v>25</v>
      </c>
      <c r="F13" s="5" t="s">
        <v>219</v>
      </c>
      <c r="G13" s="5">
        <v>0.5</v>
      </c>
      <c r="H13" s="5" t="s">
        <v>27</v>
      </c>
      <c r="I13" s="5">
        <v>7</v>
      </c>
      <c r="J13" s="5"/>
      <c r="K13" s="5">
        <v>17.5</v>
      </c>
      <c r="L13" s="6">
        <v>17.04</v>
      </c>
      <c r="M13" s="5"/>
      <c r="N13" s="5">
        <v>0</v>
      </c>
      <c r="O13" s="5">
        <v>0</v>
      </c>
      <c r="P13" s="5" t="s">
        <v>208</v>
      </c>
      <c r="Q13" s="6">
        <v>0.3</v>
      </c>
      <c r="R13" s="6" t="s">
        <v>106</v>
      </c>
      <c r="S13" s="6">
        <f>(0.05*(T13-10))</f>
        <v>7.649</v>
      </c>
      <c r="T13" s="6">
        <v>162.98</v>
      </c>
      <c r="U13" s="6">
        <f t="shared" si="0"/>
        <v>7.949</v>
      </c>
      <c r="V13" s="6">
        <f t="shared" si="1"/>
        <v>9.091</v>
      </c>
      <c r="W13" s="6">
        <v>0</v>
      </c>
      <c r="X13" s="6">
        <v>0.3</v>
      </c>
      <c r="Y13" s="6">
        <v>16.74</v>
      </c>
      <c r="Z13" s="11" t="s">
        <v>227</v>
      </c>
    </row>
    <row r="14" spans="1:26" ht="48">
      <c r="A14" s="4">
        <v>8</v>
      </c>
      <c r="B14" s="4" t="s">
        <v>78</v>
      </c>
      <c r="C14" s="5" t="s">
        <v>23</v>
      </c>
      <c r="D14" s="5" t="s">
        <v>147</v>
      </c>
      <c r="E14" s="5" t="s">
        <v>25</v>
      </c>
      <c r="F14" s="5">
        <v>16</v>
      </c>
      <c r="G14" s="5">
        <v>12</v>
      </c>
      <c r="H14" s="5" t="s">
        <v>27</v>
      </c>
      <c r="I14" s="5">
        <v>8</v>
      </c>
      <c r="J14" s="5"/>
      <c r="K14" s="5">
        <v>41</v>
      </c>
      <c r="L14" s="6">
        <v>21</v>
      </c>
      <c r="M14" s="5"/>
      <c r="N14" s="5">
        <v>0.1</v>
      </c>
      <c r="O14" s="5">
        <v>21</v>
      </c>
      <c r="P14" s="5" t="s">
        <v>208</v>
      </c>
      <c r="Q14" s="6">
        <v>0.3</v>
      </c>
      <c r="R14" s="6" t="s">
        <v>119</v>
      </c>
      <c r="S14" s="6">
        <v>0.2</v>
      </c>
      <c r="T14" s="6"/>
      <c r="U14" s="6">
        <f t="shared" si="0"/>
        <v>0.5</v>
      </c>
      <c r="V14" s="6">
        <f t="shared" si="1"/>
        <v>20.5</v>
      </c>
      <c r="W14" s="6">
        <v>0.2</v>
      </c>
      <c r="X14" s="6">
        <v>0.5</v>
      </c>
      <c r="Y14" s="6">
        <v>20.5</v>
      </c>
      <c r="Z14" s="11" t="s">
        <v>226</v>
      </c>
    </row>
    <row r="15" spans="1:26" ht="48">
      <c r="A15" s="4">
        <v>8</v>
      </c>
      <c r="B15" s="4" t="s">
        <v>78</v>
      </c>
      <c r="C15" s="5" t="s">
        <v>23</v>
      </c>
      <c r="D15" s="5" t="s">
        <v>147</v>
      </c>
      <c r="E15" s="5" t="s">
        <v>25</v>
      </c>
      <c r="F15" s="5">
        <v>16</v>
      </c>
      <c r="G15" s="5">
        <v>3</v>
      </c>
      <c r="H15" s="5" t="s">
        <v>27</v>
      </c>
      <c r="I15" s="5">
        <v>8</v>
      </c>
      <c r="J15" s="5"/>
      <c r="K15" s="5">
        <v>37</v>
      </c>
      <c r="L15" s="6">
        <v>28</v>
      </c>
      <c r="M15" s="5"/>
      <c r="N15" s="5">
        <v>0</v>
      </c>
      <c r="O15" s="5">
        <v>28</v>
      </c>
      <c r="P15" s="5" t="s">
        <v>208</v>
      </c>
      <c r="Q15" s="6">
        <v>0.3</v>
      </c>
      <c r="R15" s="6" t="s">
        <v>119</v>
      </c>
      <c r="S15" s="6">
        <v>0.2</v>
      </c>
      <c r="T15" s="6"/>
      <c r="U15" s="6">
        <f t="shared" si="0"/>
        <v>0.5</v>
      </c>
      <c r="V15" s="6">
        <f t="shared" si="1"/>
        <v>27.5</v>
      </c>
      <c r="W15" s="6">
        <v>0.2</v>
      </c>
      <c r="X15" s="6">
        <v>0.5</v>
      </c>
      <c r="Y15" s="6">
        <v>27.5</v>
      </c>
      <c r="Z15" s="11" t="s">
        <v>226</v>
      </c>
    </row>
    <row r="16" spans="1:26" ht="72">
      <c r="A16" s="4">
        <v>8</v>
      </c>
      <c r="B16" s="4" t="s">
        <v>78</v>
      </c>
      <c r="C16" s="5" t="s">
        <v>23</v>
      </c>
      <c r="D16" s="5" t="s">
        <v>24</v>
      </c>
      <c r="E16" s="5" t="s">
        <v>25</v>
      </c>
      <c r="F16" s="5" t="s">
        <v>38</v>
      </c>
      <c r="G16" s="5">
        <v>512</v>
      </c>
      <c r="H16" s="5" t="s">
        <v>27</v>
      </c>
      <c r="I16" s="5">
        <v>58.5</v>
      </c>
      <c r="J16" s="5"/>
      <c r="K16" s="5">
        <v>88.25</v>
      </c>
      <c r="L16" s="6">
        <v>44.57</v>
      </c>
      <c r="M16" s="5"/>
      <c r="N16" s="5">
        <v>2.03</v>
      </c>
      <c r="O16" s="5">
        <v>2.03</v>
      </c>
      <c r="P16" s="5" t="s">
        <v>214</v>
      </c>
      <c r="Q16" s="6">
        <f>0.5+1.5</f>
        <v>2</v>
      </c>
      <c r="R16" s="6" t="s">
        <v>215</v>
      </c>
      <c r="S16" s="6">
        <f>((G16/1000)-0.5+(0.05*(T16-10))+0.2)</f>
        <v>69.712</v>
      </c>
      <c r="T16" s="6">
        <v>1400</v>
      </c>
      <c r="U16" s="6">
        <f t="shared" si="0"/>
        <v>71.712</v>
      </c>
      <c r="V16" s="6">
        <f t="shared" si="1"/>
        <v>-27.142000000000003</v>
      </c>
      <c r="W16" s="6">
        <v>0.21200000000000002</v>
      </c>
      <c r="X16" s="6">
        <v>2.212</v>
      </c>
      <c r="Y16" s="6">
        <v>42.358</v>
      </c>
      <c r="Z16" s="11" t="s">
        <v>226</v>
      </c>
    </row>
    <row r="17" spans="1:26" ht="84">
      <c r="A17" s="4">
        <v>8</v>
      </c>
      <c r="B17" s="4" t="s">
        <v>78</v>
      </c>
      <c r="C17" s="5" t="s">
        <v>23</v>
      </c>
      <c r="D17" s="5" t="s">
        <v>24</v>
      </c>
      <c r="E17" s="5" t="s">
        <v>25</v>
      </c>
      <c r="F17" s="5" t="s">
        <v>38</v>
      </c>
      <c r="G17" s="5">
        <v>512</v>
      </c>
      <c r="H17" s="5" t="s">
        <v>27</v>
      </c>
      <c r="I17" s="5">
        <v>73.1</v>
      </c>
      <c r="J17" s="5"/>
      <c r="K17" s="5">
        <v>110.5</v>
      </c>
      <c r="L17" s="6">
        <v>50.9</v>
      </c>
      <c r="M17" s="5"/>
      <c r="N17" s="5">
        <v>1.8</v>
      </c>
      <c r="O17" s="5">
        <v>0</v>
      </c>
      <c r="P17" s="5" t="s">
        <v>36</v>
      </c>
      <c r="Q17" s="6">
        <f>0.5+0.5+1.5</f>
        <v>2.5</v>
      </c>
      <c r="R17" s="6" t="s">
        <v>217</v>
      </c>
      <c r="S17" s="6">
        <f>((G17/1000)-0.5+(0.05*(T17-10))+0.5)</f>
        <v>80.012</v>
      </c>
      <c r="T17" s="6">
        <v>1600</v>
      </c>
      <c r="U17" s="6">
        <f t="shared" si="0"/>
        <v>82.512</v>
      </c>
      <c r="V17" s="6">
        <f t="shared" si="1"/>
        <v>-31.612000000000002</v>
      </c>
      <c r="W17" s="6">
        <v>0.512</v>
      </c>
      <c r="X17" s="6">
        <v>3.012</v>
      </c>
      <c r="Y17" s="6">
        <v>47.888</v>
      </c>
      <c r="Z17" s="11" t="s">
        <v>227</v>
      </c>
    </row>
    <row r="18" spans="1:26" ht="108">
      <c r="A18" s="4">
        <v>8</v>
      </c>
      <c r="B18" s="4" t="s">
        <v>78</v>
      </c>
      <c r="C18" s="5" t="s">
        <v>23</v>
      </c>
      <c r="D18" s="5" t="s">
        <v>24</v>
      </c>
      <c r="E18" s="5" t="s">
        <v>25</v>
      </c>
      <c r="F18" s="5" t="s">
        <v>38</v>
      </c>
      <c r="G18" s="5">
        <v>512</v>
      </c>
      <c r="H18" s="5" t="s">
        <v>27</v>
      </c>
      <c r="I18" s="5">
        <v>43</v>
      </c>
      <c r="J18" s="5"/>
      <c r="K18" s="5">
        <v>96.81</v>
      </c>
      <c r="L18" s="6">
        <v>51.75</v>
      </c>
      <c r="M18" s="5"/>
      <c r="N18" s="5">
        <v>2.05</v>
      </c>
      <c r="O18" s="5">
        <v>2.05</v>
      </c>
      <c r="P18" s="5" t="s">
        <v>40</v>
      </c>
      <c r="Q18" s="6">
        <f>1.5+0.5+0.5</f>
        <v>2.5</v>
      </c>
      <c r="R18" s="6" t="s">
        <v>216</v>
      </c>
      <c r="S18" s="6">
        <f>((G18/1000)-0.5+(0.05*(T18-10))+0.2+0.2+0.2)</f>
        <v>62.61200000000001</v>
      </c>
      <c r="T18" s="6">
        <v>1250</v>
      </c>
      <c r="U18" s="6">
        <f t="shared" si="0"/>
        <v>65.11200000000001</v>
      </c>
      <c r="V18" s="6">
        <f t="shared" si="1"/>
        <v>-13.362000000000009</v>
      </c>
      <c r="W18" s="6">
        <v>0.6120000000000001</v>
      </c>
      <c r="X18" s="6">
        <v>3.112</v>
      </c>
      <c r="Y18" s="6">
        <v>48.638</v>
      </c>
      <c r="Z18" s="11" t="s">
        <v>226</v>
      </c>
    </row>
    <row r="19" spans="1:26" ht="96">
      <c r="A19" s="4">
        <v>8</v>
      </c>
      <c r="B19" s="4" t="s">
        <v>78</v>
      </c>
      <c r="C19" s="5" t="s">
        <v>23</v>
      </c>
      <c r="D19" s="5" t="s">
        <v>24</v>
      </c>
      <c r="E19" s="5" t="s">
        <v>25</v>
      </c>
      <c r="F19" s="5" t="s">
        <v>38</v>
      </c>
      <c r="G19" s="5">
        <v>512</v>
      </c>
      <c r="H19" s="5" t="s">
        <v>27</v>
      </c>
      <c r="I19" s="5">
        <v>87.7</v>
      </c>
      <c r="J19" s="5"/>
      <c r="K19" s="5">
        <v>108</v>
      </c>
      <c r="L19" s="6">
        <v>58.8</v>
      </c>
      <c r="M19" s="5"/>
      <c r="N19" s="5">
        <v>0.7</v>
      </c>
      <c r="O19" s="5">
        <v>0.7</v>
      </c>
      <c r="P19" s="5" t="s">
        <v>214</v>
      </c>
      <c r="Q19" s="6">
        <f>0.5+1.5</f>
        <v>2</v>
      </c>
      <c r="R19" s="6" t="s">
        <v>218</v>
      </c>
      <c r="S19" s="6">
        <f>((G19/1000)-0.5+(0.05*(T19-10))+0.5+0.2)</f>
        <v>80.212</v>
      </c>
      <c r="T19" s="6">
        <v>1600</v>
      </c>
      <c r="U19" s="6">
        <f t="shared" si="0"/>
        <v>82.212</v>
      </c>
      <c r="V19" s="6">
        <f t="shared" si="1"/>
        <v>-23.412000000000006</v>
      </c>
      <c r="W19" s="6">
        <v>0.712</v>
      </c>
      <c r="X19" s="6">
        <v>2.7119999999999997</v>
      </c>
      <c r="Y19" s="6">
        <v>56.087999999999994</v>
      </c>
      <c r="Z19" s="11" t="s">
        <v>227</v>
      </c>
    </row>
    <row r="20" spans="1:26" ht="108">
      <c r="A20" s="4">
        <v>8</v>
      </c>
      <c r="B20" s="4" t="s">
        <v>78</v>
      </c>
      <c r="C20" s="5" t="s">
        <v>23</v>
      </c>
      <c r="D20" s="5" t="s">
        <v>24</v>
      </c>
      <c r="E20" s="5" t="s">
        <v>25</v>
      </c>
      <c r="F20" s="5" t="s">
        <v>38</v>
      </c>
      <c r="G20" s="5">
        <v>512</v>
      </c>
      <c r="H20" s="5" t="s">
        <v>27</v>
      </c>
      <c r="I20" s="5">
        <v>195.52</v>
      </c>
      <c r="J20" s="5"/>
      <c r="K20" s="5">
        <v>1010.3</v>
      </c>
      <c r="L20" s="6">
        <v>60.5</v>
      </c>
      <c r="M20" s="5"/>
      <c r="N20" s="5">
        <v>5.733</v>
      </c>
      <c r="O20" s="5">
        <v>5.733</v>
      </c>
      <c r="P20" s="5" t="s">
        <v>36</v>
      </c>
      <c r="Q20" s="6">
        <f>0.5+0.5+1.5</f>
        <v>2.5</v>
      </c>
      <c r="R20" s="6" t="s">
        <v>39</v>
      </c>
      <c r="S20" s="6">
        <f>((G20/1000)-0.5+(0.05*(T20-10))+0.5+0.2+0.2)</f>
        <v>230.41199999999998</v>
      </c>
      <c r="T20" s="6">
        <v>4600</v>
      </c>
      <c r="U20" s="6">
        <f t="shared" si="0"/>
        <v>232.91199999999998</v>
      </c>
      <c r="V20" s="6">
        <f t="shared" si="1"/>
        <v>-172.41199999999998</v>
      </c>
      <c r="W20" s="6">
        <v>0.9119999999999999</v>
      </c>
      <c r="X20" s="6">
        <v>3.412</v>
      </c>
      <c r="Y20" s="6">
        <v>57.088</v>
      </c>
      <c r="Z20" s="11" t="s">
        <v>226</v>
      </c>
    </row>
    <row r="21" spans="1:26" ht="120">
      <c r="A21" s="4">
        <v>8</v>
      </c>
      <c r="B21" s="4" t="s">
        <v>78</v>
      </c>
      <c r="C21" s="5" t="s">
        <v>23</v>
      </c>
      <c r="D21" s="5" t="s">
        <v>210</v>
      </c>
      <c r="E21" s="5" t="s">
        <v>51</v>
      </c>
      <c r="F21" s="5" t="s">
        <v>211</v>
      </c>
      <c r="G21" s="5">
        <v>2048</v>
      </c>
      <c r="H21" s="5" t="s">
        <v>27</v>
      </c>
      <c r="I21" s="5">
        <v>35</v>
      </c>
      <c r="J21" s="5">
        <v>35</v>
      </c>
      <c r="K21" s="5">
        <v>240</v>
      </c>
      <c r="L21" s="6">
        <v>64</v>
      </c>
      <c r="M21" s="5">
        <v>2.6</v>
      </c>
      <c r="N21" s="5">
        <v>0.03</v>
      </c>
      <c r="O21" s="5">
        <v>2.6</v>
      </c>
      <c r="P21" s="5" t="s">
        <v>212</v>
      </c>
      <c r="Q21" s="6">
        <f>0.3+0.5+1.5</f>
        <v>2.3</v>
      </c>
      <c r="R21" s="6" t="s">
        <v>213</v>
      </c>
      <c r="S21" s="6">
        <f>((G21/1000)-0.5+(0.05*(T21-10))+0.2+0.2+0.2)</f>
        <v>16.648</v>
      </c>
      <c r="T21" s="6">
        <v>300</v>
      </c>
      <c r="U21" s="6">
        <f t="shared" si="0"/>
        <v>18.948</v>
      </c>
      <c r="V21" s="6">
        <f t="shared" si="1"/>
        <v>45.052</v>
      </c>
      <c r="W21" s="6">
        <v>2.148</v>
      </c>
      <c r="X21" s="6">
        <v>4.448</v>
      </c>
      <c r="Y21" s="6">
        <v>59.552</v>
      </c>
      <c r="Z21" s="11" t="s">
        <v>226</v>
      </c>
    </row>
    <row r="22" spans="1:26" ht="120">
      <c r="A22" s="4">
        <v>8</v>
      </c>
      <c r="B22" s="4" t="s">
        <v>78</v>
      </c>
      <c r="C22" s="5" t="s">
        <v>23</v>
      </c>
      <c r="D22" s="5" t="s">
        <v>210</v>
      </c>
      <c r="E22" s="5" t="s">
        <v>51</v>
      </c>
      <c r="F22" s="5" t="s">
        <v>211</v>
      </c>
      <c r="G22" s="5">
        <v>2048</v>
      </c>
      <c r="H22" s="5" t="s">
        <v>27</v>
      </c>
      <c r="I22" s="5">
        <v>35</v>
      </c>
      <c r="J22" s="5">
        <v>35</v>
      </c>
      <c r="K22" s="5">
        <v>240</v>
      </c>
      <c r="L22" s="6">
        <v>64</v>
      </c>
      <c r="M22" s="5">
        <v>2.6</v>
      </c>
      <c r="N22" s="5">
        <v>0.03</v>
      </c>
      <c r="O22" s="5">
        <v>2.6</v>
      </c>
      <c r="P22" s="5" t="s">
        <v>212</v>
      </c>
      <c r="Q22" s="6">
        <f>0.3+0.5+1.5</f>
        <v>2.3</v>
      </c>
      <c r="R22" s="6" t="s">
        <v>213</v>
      </c>
      <c r="S22" s="6">
        <f>((G22/1000)-0.5+(0.05*(T22-10))+0.2+0.2+0.2)</f>
        <v>16.648</v>
      </c>
      <c r="T22" s="6">
        <v>300</v>
      </c>
      <c r="U22" s="6">
        <f t="shared" si="0"/>
        <v>18.948</v>
      </c>
      <c r="V22" s="6">
        <f t="shared" si="1"/>
        <v>45.052</v>
      </c>
      <c r="W22" s="6">
        <v>2.148</v>
      </c>
      <c r="X22" s="6">
        <v>4.448</v>
      </c>
      <c r="Y22" s="6">
        <v>59.552</v>
      </c>
      <c r="Z22" s="11" t="s">
        <v>226</v>
      </c>
    </row>
  </sheetData>
  <mergeCells count="1">
    <mergeCell ref="W1:Y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ICF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14408</dc:creator>
  <cp:keywords/>
  <dc:description/>
  <cp:lastModifiedBy>14408</cp:lastModifiedBy>
  <dcterms:created xsi:type="dcterms:W3CDTF">2008-04-03T14:24:24Z</dcterms:created>
  <dcterms:modified xsi:type="dcterms:W3CDTF">2008-04-16T13:42:11Z</dcterms:modified>
  <cp:category/>
  <cp:version/>
  <cp:contentType/>
  <cp:contentStatus/>
</cp:coreProperties>
</file>