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25" yWindow="0" windowWidth="15525" windowHeight="12165" tabRatio="963" activeTab="0"/>
  </bookViews>
  <sheets>
    <sheet name="Introduction" sheetId="1" r:id="rId1"/>
    <sheet name="Basic Info" sheetId="2" r:id="rId2"/>
    <sheet name="Reporting Summary" sheetId="3" r:id="rId3"/>
    <sheet name="SIR by Measure" sheetId="4" r:id="rId4"/>
    <sheet name="LEED for Homes Mid-Rise Form" sheetId="5" r:id="rId5"/>
    <sheet name="Windows eQUEST" sheetId="6" r:id="rId6"/>
    <sheet name="Water Savings" sheetId="7" r:id="rId7"/>
    <sheet name="DHW Demand" sheetId="8" r:id="rId8"/>
    <sheet name="Appliances" sheetId="9" r:id="rId9"/>
    <sheet name="Lighting Schedule" sheetId="10" r:id="rId10"/>
    <sheet name="In-Unit Lighting" sheetId="11" r:id="rId11"/>
    <sheet name="Interior Lighting" sheetId="12" r:id="rId12"/>
    <sheet name="Exterior Lighting" sheetId="13" r:id="rId13"/>
    <sheet name="Infiltration&amp;Ventilation" sheetId="14" r:id="rId14"/>
    <sheet name="EIR for PTAC and PTHP" sheetId="15" r:id="rId15"/>
    <sheet name="Results from eQUEST" sheetId="16" r:id="rId16"/>
    <sheet name="Simulation Summary" sheetId="17" r:id="rId17"/>
    <sheet name="Tables of Values" sheetId="18" state="hidden" r:id="rId18"/>
  </sheets>
  <externalReferences>
    <externalReference r:id="rId21"/>
  </externalReferences>
  <definedNames>
    <definedName name="Efficacy">'[1]Lighting Schedule'!$X$3:$X$4</definedName>
    <definedName name="Low_Flow_Toilets" localSheetId="6">'Water Savings'!$E$20:$E$20</definedName>
    <definedName name="Low_Flow_Toilets">#REF!</definedName>
    <definedName name="_xlnm.Print_Area" localSheetId="0">'Introduction'!$A$1:$B$54</definedName>
    <definedName name="_xlnm.Print_Area" localSheetId="3">'SIR by Measure'!$C$7:$M$61</definedName>
    <definedName name="_xlnm.Print_Titles" localSheetId="11">'Interior Lighting'!$16:$16</definedName>
    <definedName name="Z_04B77481_E3E8_40F9_BDC2_E6862D1359A5_.wvu.PrintArea" localSheetId="3" hidden="1">'SIR by Measure'!$C$7:$P$33</definedName>
  </definedNames>
  <calcPr fullCalcOnLoad="1"/>
</workbook>
</file>

<file path=xl/comments1.xml><?xml version="1.0" encoding="utf-8"?>
<comments xmlns="http://schemas.openxmlformats.org/spreadsheetml/2006/main">
  <authors>
    <author>administrator</author>
  </authors>
  <commentList>
    <comment ref="A2" authorId="0">
      <text>
        <r>
          <rPr>
            <sz val="8"/>
            <rFont val="Tahoma"/>
            <family val="2"/>
          </rPr>
          <t xml:space="preserve">Version 1.1 Summary of Changes:
</t>
        </r>
        <r>
          <rPr>
            <b/>
            <sz val="8"/>
            <rFont val="Tahoma"/>
            <family val="2"/>
          </rPr>
          <t>Basic Info</t>
        </r>
        <r>
          <rPr>
            <sz val="8"/>
            <rFont val="Tahoma"/>
            <family val="2"/>
          </rPr>
          <t xml:space="preserve"> Worksheet: square footage calculation was corrected and lighting was converted to W/sf.
</t>
        </r>
        <r>
          <rPr>
            <b/>
            <sz val="8"/>
            <rFont val="Tahoma"/>
            <family val="2"/>
          </rPr>
          <t>Reporting Summary</t>
        </r>
        <r>
          <rPr>
            <sz val="8"/>
            <rFont val="Tahoma"/>
            <family val="2"/>
          </rPr>
          <t xml:space="preserve">: Window to Floor Area ratio replaced with Window to Wall Area ratio. Comment added that appears only if common area lighting exceed prerequisite (20% over ASHRAE). Add % savings by end-use that contributes to total % savings.
</t>
        </r>
        <r>
          <rPr>
            <b/>
            <sz val="8"/>
            <rFont val="Tahoma"/>
            <family val="2"/>
          </rPr>
          <t>LEED-H MR Form</t>
        </r>
        <r>
          <rPr>
            <sz val="8"/>
            <rFont val="Tahoma"/>
            <family val="2"/>
          </rPr>
          <t xml:space="preserve">: Corrected calculations.
</t>
        </r>
        <r>
          <rPr>
            <b/>
            <sz val="8"/>
            <rFont val="Tahoma"/>
            <family val="2"/>
          </rPr>
          <t>DHW Demand</t>
        </r>
        <r>
          <rPr>
            <sz val="8"/>
            <rFont val="Tahoma"/>
            <family val="2"/>
          </rPr>
          <t xml:space="preserve">: Calculations added for storage water heaters; comment added that GPM flowrates entered must be the GPM rated at 80 psi.
</t>
        </r>
        <r>
          <rPr>
            <b/>
            <sz val="8"/>
            <rFont val="Tahoma"/>
            <family val="2"/>
          </rPr>
          <t>Interior Lighting Worksheet</t>
        </r>
        <r>
          <rPr>
            <sz val="8"/>
            <rFont val="Tahoma"/>
            <family val="2"/>
          </rPr>
          <t xml:space="preserve">: column added to sum square footage when using multipliers and note provided to caution users to only insert rows at the end of tables. Column for "24/7?" expanded to document "sensors". Food prep and family dining areas removed from ASHRAE space type drop-down. If these areas exist in common spaces, use "Multipurpose". Drop-down added to indicate Space-by-Space or Building Area method.
</t>
        </r>
        <r>
          <rPr>
            <b/>
            <sz val="8"/>
            <rFont val="Tahoma"/>
            <family val="2"/>
          </rPr>
          <t>Infiltration/Ventilation Worksheet</t>
        </r>
        <r>
          <rPr>
            <sz val="8"/>
            <rFont val="Tahoma"/>
            <family val="2"/>
          </rPr>
          <t xml:space="preserve">: Range hood included as an option in the drop-down menu for Exhaust Fan type; Rooftop expanded to include "other".
</t>
        </r>
        <r>
          <rPr>
            <b/>
            <sz val="8"/>
            <rFont val="Tahoma"/>
            <family val="2"/>
          </rPr>
          <t>EIR for PTAC and PTHP</t>
        </r>
        <r>
          <rPr>
            <sz val="8"/>
            <rFont val="Tahoma"/>
            <family val="2"/>
          </rPr>
          <t xml:space="preserve">: PTHP section expanded to include heating COP/EIR.
</t>
        </r>
      </text>
    </comment>
  </commentList>
</comments>
</file>

<file path=xl/comments12.xml><?xml version="1.0" encoding="utf-8"?>
<comments xmlns="http://schemas.openxmlformats.org/spreadsheetml/2006/main">
  <authors>
    <author>gvijayakumar</author>
  </authors>
  <commentList>
    <comment ref="K1" authorId="0">
      <text>
        <r>
          <rPr>
            <b/>
            <sz val="8"/>
            <rFont val="Tahoma"/>
            <family val="2"/>
          </rPr>
          <t xml:space="preserve">Follow Appendix B of Prerequisites
</t>
        </r>
        <r>
          <rPr>
            <sz val="8"/>
            <rFont val="Tahoma"/>
            <family val="2"/>
          </rPr>
          <t xml:space="preserve">
</t>
        </r>
      </text>
    </comment>
    <comment ref="J1" authorId="0">
      <text>
        <r>
          <rPr>
            <b/>
            <sz val="8"/>
            <rFont val="Tahoma"/>
            <family val="2"/>
          </rPr>
          <t>Use maximum rated wattage for the fixture if following ASHRAE explicitly. EPA allows wattage to be calculated using wattage of installed lamps and ballast, regardless of maximum rated wattage of the fixture.</t>
        </r>
        <r>
          <rPr>
            <sz val="8"/>
            <rFont val="Tahoma"/>
            <family val="2"/>
          </rPr>
          <t xml:space="preserve">
</t>
        </r>
      </text>
    </comment>
  </commentList>
</comments>
</file>

<file path=xl/comments14.xml><?xml version="1.0" encoding="utf-8"?>
<comments xmlns="http://schemas.openxmlformats.org/spreadsheetml/2006/main">
  <authors>
    <author>gvijayakumar</author>
  </authors>
  <commentList>
    <comment ref="B17" authorId="0">
      <text>
        <r>
          <rPr>
            <sz val="8"/>
            <rFont val="Tahoma"/>
            <family val="2"/>
          </rPr>
          <t>This applies to central exhaust systems only.</t>
        </r>
        <r>
          <rPr>
            <b/>
            <sz val="8"/>
            <rFont val="Tahoma"/>
            <family val="0"/>
          </rPr>
          <t xml:space="preserve"> </t>
        </r>
      </text>
    </comment>
    <comment ref="B18" authorId="0">
      <text>
        <r>
          <rPr>
            <sz val="8"/>
            <rFont val="Tahoma"/>
            <family val="2"/>
          </rPr>
          <t>For exhaust fans with different runtimes, use formulas in row 60 and 63 to determine equivalent continuous flow rates and enter 24 hours here.
If not otherwise known, intermittent fans should be modeled using a 2 hour/day runtime.
For intermittent fans that are also used to provide whole-house ventilation, increase the runtime accordingly.</t>
        </r>
      </text>
    </comment>
    <comment ref="B54" authorId="0">
      <text>
        <r>
          <rPr>
            <sz val="8"/>
            <rFont val="Tahoma"/>
            <family val="0"/>
          </rPr>
          <t>This is the CONTINUOUS rate needed to meet ASHRAE 62.2-2007. This can also be met using a timer and a larger sized fan.
Ex. 20 CFM continuous is equivalent to an 80 CFM fan that operates 15 minutes each hour.</t>
        </r>
      </text>
    </comment>
    <comment ref="B56" authorId="0">
      <text>
        <r>
          <rPr>
            <sz val="8"/>
            <rFont val="Tahoma"/>
            <family val="2"/>
          </rPr>
          <t>If this is met using a timer approach, enter the equivalent continuous rate.</t>
        </r>
        <r>
          <rPr>
            <sz val="8"/>
            <rFont val="Tahoma"/>
            <family val="0"/>
          </rPr>
          <t xml:space="preserve">
Ex. An 80 CFM fan that operates 15 minutes each hour should be entered as 20 CFM.
You may choose to exceed the maximum CFM allowed in the baseline, however, your model must be penalized for the extra volume of ventilated air unless the additional CFM was needed to meet continuous local exhaust.</t>
        </r>
      </text>
    </comment>
    <comment ref="B55" authorId="0">
      <text>
        <r>
          <rPr>
            <sz val="8"/>
            <rFont val="Tahoma"/>
            <family val="2"/>
          </rPr>
          <t xml:space="preserve">Exceeding whole-house ventilation rates by more than 50% is permitted only if using continuously running local exhaust fans to meet whole-house ventilation. 
</t>
        </r>
      </text>
    </comment>
    <comment ref="B28" authorId="0">
      <text>
        <r>
          <rPr>
            <sz val="8"/>
            <rFont val="Tahoma"/>
            <family val="2"/>
          </rPr>
          <t xml:space="preserve">This assumes that all fans within the space are the same. To calculate the power consumption of different fans within the same space, you would need to modify the exhaust in row 16 to represent the CFM from one fan and record the power consumption. Repeat this step for the number of unique fans that you have.
</t>
        </r>
      </text>
    </comment>
    <comment ref="B16" authorId="0">
      <text>
        <r>
          <rPr>
            <sz val="8"/>
            <rFont val="Tahoma"/>
            <family val="2"/>
          </rPr>
          <t xml:space="preserve">For exhaust fans with different runtimes, use formulas in row 60 and 63 to determine equivalent continuous flow rates.
</t>
        </r>
      </text>
    </comment>
    <comment ref="B45" authorId="0">
      <text>
        <r>
          <rPr>
            <sz val="8"/>
            <rFont val="Tahoma"/>
            <family val="2"/>
          </rPr>
          <t>You may choose to exceed the maximum CFM allowed in the baseline, however, your model must be penalized for the extra volume of ventilated air.</t>
        </r>
      </text>
    </comment>
    <comment ref="B48" authorId="0">
      <text>
        <r>
          <rPr>
            <sz val="8"/>
            <rFont val="Tahoma"/>
            <family val="2"/>
          </rPr>
          <t>Kitchen volume shall be determined by drawing the smallest possible rectangle on the floor plan that encompasses all cabinets, pantries, islands, and peninsulas and multiplying by the average ceiling height for this area. Cabinet volume shall be included in the kitchen volume calculation.</t>
        </r>
        <r>
          <rPr>
            <sz val="8"/>
            <rFont val="Tahoma"/>
            <family val="0"/>
          </rPr>
          <t xml:space="preserve">
</t>
        </r>
      </text>
    </comment>
  </commentList>
</comments>
</file>

<file path=xl/sharedStrings.xml><?xml version="1.0" encoding="utf-8"?>
<sst xmlns="http://schemas.openxmlformats.org/spreadsheetml/2006/main" count="1823" uniqueCount="872">
  <si>
    <t>Proposed Design (copy run that corresponds to proposed design from &lt;project name&gt;-Parms.csv to row 19 below)</t>
  </si>
  <si>
    <t>Manufacturer/Model</t>
  </si>
  <si>
    <t>24/7?</t>
  </si>
  <si>
    <t>Fixture Code</t>
  </si>
  <si>
    <t>Room Name</t>
  </si>
  <si>
    <t>Fixture Code (A,B,C etc)</t>
  </si>
  <si>
    <t>Quantity</t>
  </si>
  <si>
    <t>Fixture Wattage</t>
  </si>
  <si>
    <t>Lumens per Fixture</t>
  </si>
  <si>
    <t>Total Installed Wattage, W</t>
  </si>
  <si>
    <t>Only the rooms for which there are specified hard-wired lighting fixtures should be entered in this table. Therefore, the total square feet that you list in this table might be smaller than the total square feet of the Apartments. If there are multiple fixtures per room, distribute area accordingly.</t>
  </si>
  <si>
    <r>
      <t xml:space="preserve">Red cells will indicate when </t>
    </r>
    <r>
      <rPr>
        <u val="single"/>
        <sz val="10"/>
        <rFont val="Arial"/>
        <family val="2"/>
      </rPr>
      <t>continuous</t>
    </r>
    <r>
      <rPr>
        <sz val="10"/>
        <rFont val="Arial"/>
        <family val="2"/>
      </rPr>
      <t xml:space="preserve"> baseline ventilation is not properly modeled.</t>
    </r>
  </si>
  <si>
    <t>7. Rooms with more than one fixture type should be entered using multiple rows (Ex. exit signs); square footage should be distributed between entries.</t>
  </si>
  <si>
    <t>Apartment balcony lighting should be treated as façade lighting, and modeled using the 2.34 hr/day schedule for in-unit lighting.</t>
  </si>
  <si>
    <t>Apartments and Balconies</t>
  </si>
  <si>
    <t>Exhaust Ventilation, CFM (Design/tested flows at grilles)</t>
  </si>
  <si>
    <t>$/Gallon</t>
  </si>
  <si>
    <t>Fossil Fuel, Btu</t>
  </si>
  <si>
    <t>9. When finished, be sure to delete any "#N/A" from blank rows.</t>
  </si>
  <si>
    <t>PROPOSED W/SF</t>
  </si>
  <si>
    <t>Location</t>
  </si>
  <si>
    <t>O</t>
  </si>
  <si>
    <t>P</t>
  </si>
  <si>
    <t>Q</t>
  </si>
  <si>
    <t>R</t>
  </si>
  <si>
    <t>S</t>
  </si>
  <si>
    <t>T</t>
  </si>
  <si>
    <t>U</t>
  </si>
  <si>
    <t>V</t>
  </si>
  <si>
    <t>PTHP</t>
  </si>
  <si>
    <t>Enter each measure and the corresponding baseline and proposed costs.</t>
  </si>
  <si>
    <t>MMbtu</t>
  </si>
  <si>
    <t xml:space="preserve">Baseline 
Annual Consumption </t>
  </si>
  <si>
    <t>Proposed Design 
Annual Consumption</t>
  </si>
  <si>
    <t>% Savings</t>
  </si>
  <si>
    <t>Electric loads</t>
  </si>
  <si>
    <t>Ventilation fans</t>
  </si>
  <si>
    <t>Space heating</t>
  </si>
  <si>
    <t>Space cooling</t>
  </si>
  <si>
    <t>Domestic hot water</t>
  </si>
  <si>
    <t>Interior lighting</t>
  </si>
  <si>
    <t>Other (describe)</t>
  </si>
  <si>
    <t>Plug loads</t>
  </si>
  <si>
    <t>Gas loads</t>
  </si>
  <si>
    <t>Fuel oil loads</t>
  </si>
  <si>
    <t>Totals</t>
  </si>
  <si>
    <t>Oil loads</t>
  </si>
  <si>
    <r>
      <t>Total bldg ft</t>
    </r>
    <r>
      <rPr>
        <vertAlign val="superscript"/>
        <sz val="10"/>
        <rFont val="Arial"/>
        <family val="2"/>
      </rPr>
      <t>2</t>
    </r>
    <r>
      <rPr>
        <sz val="10"/>
        <rFont val="Arial"/>
        <family val="2"/>
      </rPr>
      <t>:</t>
    </r>
  </si>
  <si>
    <r>
      <t>Conditioned ft</t>
    </r>
    <r>
      <rPr>
        <vertAlign val="superscript"/>
        <sz val="10"/>
        <rFont val="Arial"/>
        <family val="2"/>
      </rPr>
      <t>2</t>
    </r>
    <r>
      <rPr>
        <sz val="10"/>
        <rFont val="Arial"/>
        <family val="2"/>
      </rPr>
      <t>:</t>
    </r>
  </si>
  <si>
    <r>
      <t>Average ft</t>
    </r>
    <r>
      <rPr>
        <vertAlign val="superscript"/>
        <sz val="10"/>
        <rFont val="Arial"/>
        <family val="2"/>
      </rPr>
      <t>2</t>
    </r>
  </si>
  <si>
    <r>
      <t>W/ft</t>
    </r>
    <r>
      <rPr>
        <vertAlign val="superscript"/>
        <sz val="9"/>
        <rFont val="Arial"/>
        <family val="2"/>
      </rPr>
      <t>2</t>
    </r>
  </si>
  <si>
    <t>Apartment</t>
  </si>
  <si>
    <t>Table 4. ENERGY STAR Portfolio Manager Input</t>
  </si>
  <si>
    <t>Gross Floor Area</t>
  </si>
  <si>
    <t xml:space="preserve">Number of bedrooms </t>
  </si>
  <si>
    <t>Number of Floors</t>
  </si>
  <si>
    <t xml:space="preserve">Number of in-apartment laundry hookups </t>
  </si>
  <si>
    <t xml:space="preserve">Number of common area laundry hookups </t>
  </si>
  <si>
    <t xml:space="preserve">Number of dishwashers </t>
  </si>
  <si>
    <t>% gross floor area that is heated</t>
  </si>
  <si>
    <t>% gross floor area that is cooled</t>
  </si>
  <si>
    <t>3 - Bedroom</t>
  </si>
  <si>
    <t>4 - Bedroom</t>
  </si>
  <si>
    <t>Total Square Ft</t>
  </si>
  <si>
    <t>Conditioned?</t>
  </si>
  <si>
    <t>Heated &amp; Cooled</t>
  </si>
  <si>
    <t>Unconditioned</t>
  </si>
  <si>
    <t>Heated-Only</t>
  </si>
  <si>
    <t>Cooled-Only</t>
  </si>
  <si>
    <t>Table 5. Comparison of Inputs</t>
  </si>
  <si>
    <t>Table 6. Comparison of Estimated Consumption</t>
  </si>
  <si>
    <t>Table 7. Fuel Cost</t>
  </si>
  <si>
    <t>Table 8. Performance Rating Calculation</t>
  </si>
  <si>
    <t>Table 9. Energy Usage per Square Foot of Conditioned Area</t>
  </si>
  <si>
    <r>
      <t xml:space="preserve">Performance rating is shown in </t>
    </r>
    <r>
      <rPr>
        <b/>
        <sz val="10"/>
        <color indexed="10"/>
        <rFont val="Arial"/>
        <family val="2"/>
      </rPr>
      <t>Red Font</t>
    </r>
  </si>
  <si>
    <t>Annual Maint. ($)</t>
  </si>
  <si>
    <t>Date &amp; Time of Run</t>
  </si>
  <si>
    <t>File Name</t>
  </si>
  <si>
    <t>Case Description</t>
  </si>
  <si>
    <t>MBtu</t>
  </si>
  <si>
    <t>kBtu/sf/yr</t>
  </si>
  <si>
    <t>TDV-MBtu</t>
  </si>
  <si>
    <t>Do apartments have dishwashers?  (Y/N)</t>
  </si>
  <si>
    <t>kWh</t>
  </si>
  <si>
    <t>kW</t>
  </si>
  <si>
    <t>$</t>
  </si>
  <si>
    <t xml:space="preserve">Enter data in the cells highlighted with this color. </t>
  </si>
  <si>
    <t>Area Type</t>
  </si>
  <si>
    <t xml:space="preserve">Lighting Power Density </t>
  </si>
  <si>
    <t>Area</t>
  </si>
  <si>
    <t>W/SqFt</t>
  </si>
  <si>
    <t>Tradable</t>
  </si>
  <si>
    <t>Non-Tradable</t>
  </si>
  <si>
    <t>Notes:</t>
  </si>
  <si>
    <t xml:space="preserve">(1) Enter area of all illuminated walls or surfaces in the Area column </t>
  </si>
  <si>
    <t>(2) Enter total linear foot of door width for main entrance doors</t>
  </si>
  <si>
    <t xml:space="preserve">Enter data in the cells highlighted in this color. </t>
  </si>
  <si>
    <t>NA</t>
  </si>
  <si>
    <t># of bedrooms</t>
  </si>
  <si>
    <t># of apartments</t>
  </si>
  <si>
    <t># of clothes washers</t>
  </si>
  <si>
    <t>Kitchen Faucet</t>
  </si>
  <si>
    <t>GPM</t>
  </si>
  <si>
    <t># kitchen faucets</t>
  </si>
  <si>
    <t>Bath Faucet</t>
  </si>
  <si>
    <t># lav faucets</t>
  </si>
  <si>
    <t>Units</t>
  </si>
  <si>
    <t>Appliances</t>
  </si>
  <si>
    <t>Electric Usage:</t>
  </si>
  <si>
    <t>Non-Coincident Peak Demand:</t>
  </si>
  <si>
    <t>Coincident Peak Demand:</t>
  </si>
  <si>
    <t>Fuel Usage:</t>
  </si>
  <si>
    <t>Source Energy:</t>
  </si>
  <si>
    <t>TDV Energy:</t>
  </si>
  <si>
    <t>Annual Utility Costs:</t>
  </si>
  <si>
    <t>SS-D</t>
  </si>
  <si>
    <t>PS-E</t>
  </si>
  <si>
    <t>BEPS</t>
  </si>
  <si>
    <t>TDV1</t>
  </si>
  <si>
    <t>ES-E</t>
  </si>
  <si>
    <t>Peak Cooling</t>
  </si>
  <si>
    <t>Ambient</t>
  </si>
  <si>
    <t>Task</t>
  </si>
  <si>
    <t>Misc</t>
  </si>
  <si>
    <t>Space</t>
  </si>
  <si>
    <t>Heat</t>
  </si>
  <si>
    <t>Ventilation</t>
  </si>
  <si>
    <t>Refrig</t>
  </si>
  <si>
    <t>Heat Pump</t>
  </si>
  <si>
    <t>Domestic</t>
  </si>
  <si>
    <t>Exterior</t>
  </si>
  <si>
    <t>Bldg</t>
  </si>
  <si>
    <t>Run</t>
  </si>
  <si>
    <t>Internal</t>
  </si>
  <si>
    <t>Case</t>
  </si>
  <si>
    <t>Short</t>
  </si>
  <si>
    <t>Carry</t>
  </si>
  <si>
    <t>Incremental</t>
  </si>
  <si>
    <t>Coil Load</t>
  </si>
  <si>
    <t>Lights</t>
  </si>
  <si>
    <t>Equip</t>
  </si>
  <si>
    <t>Heating</t>
  </si>
  <si>
    <t>Reject</t>
  </si>
  <si>
    <t>&amp; Aux</t>
  </si>
  <si>
    <t>Fans</t>
  </si>
  <si>
    <t>Display</t>
  </si>
  <si>
    <t>Supplement</t>
  </si>
  <si>
    <t>Hot Water</t>
  </si>
  <si>
    <t>Usage</t>
  </si>
  <si>
    <t>EUI</t>
  </si>
  <si>
    <t>Do not edit cells highlighted in this color.</t>
  </si>
  <si>
    <t># of washers</t>
  </si>
  <si>
    <t># of dishwashers</t>
  </si>
  <si>
    <t>Common Washer, kWh/yr-bldg</t>
  </si>
  <si>
    <t>In-Unit Clothes Washer, kWh/yr-bldg</t>
  </si>
  <si>
    <t># of dryers</t>
  </si>
  <si>
    <t>In-Unit Dryer, kWh/yr-bldg</t>
  </si>
  <si>
    <t>Common Dryer, kWh/yr-bldg</t>
  </si>
  <si>
    <t>Apartment Systems</t>
  </si>
  <si>
    <t xml:space="preserve"> </t>
  </si>
  <si>
    <t>Average # bedrooms in living units</t>
  </si>
  <si>
    <t>Common Washer, W/SqFt</t>
  </si>
  <si>
    <t>Common Dryer, W/SqFt</t>
  </si>
  <si>
    <t>F-factor</t>
  </si>
  <si>
    <t>1 Dryer</t>
  </si>
  <si>
    <t>In-Unit Washer, W/SqFt</t>
  </si>
  <si>
    <t>In-Unit Dryer, W/SqFt</t>
  </si>
  <si>
    <t>1 Stove</t>
  </si>
  <si>
    <t>Baseline Design</t>
  </si>
  <si>
    <t>Exterior Lighting Allowances (Per Table 9.4.5 of ASHRAE 90.1)</t>
  </si>
  <si>
    <t>Total Area For Space Type, SqFt</t>
  </si>
  <si>
    <t>Showerheads</t>
  </si>
  <si>
    <t>Bathroom Faucets</t>
  </si>
  <si>
    <t>Kitchen Faucets</t>
  </si>
  <si>
    <t>Baseline Fixtures, per EPAct 1992</t>
  </si>
  <si>
    <t>Fixture</t>
  </si>
  <si>
    <t>Flow Rate</t>
  </si>
  <si>
    <t>Baseline Toilets (GPF)</t>
  </si>
  <si>
    <t>Baseline Urinals (GPF)</t>
  </si>
  <si>
    <t>Baseline Showerheads (GPM)</t>
  </si>
  <si>
    <t>Baseline Bathroom Faucets (GPM)</t>
  </si>
  <si>
    <t>Baseline Kitchen Faucets (GPM)</t>
  </si>
  <si>
    <t>Fixture Use</t>
  </si>
  <si>
    <t>Fixture Type</t>
  </si>
  <si>
    <t>Duration (sec)</t>
  </si>
  <si>
    <t>Uses/Day/Occupant</t>
  </si>
  <si>
    <t>-</t>
  </si>
  <si>
    <t>In-Unit</t>
  </si>
  <si>
    <t>Common</t>
  </si>
  <si>
    <t>T24 DAY EQP WD</t>
  </si>
  <si>
    <t>Electric Stove, kWh/yr-blg</t>
  </si>
  <si>
    <t>Dishwasher, kWh/yr-unit</t>
  </si>
  <si>
    <t>Dishwasher, kWh/yr-bldg</t>
  </si>
  <si>
    <t>Dishwasher, W/SqFt</t>
  </si>
  <si>
    <t>In-Unit Clothes Washer, kWh/yr</t>
  </si>
  <si>
    <t>washer and dryer</t>
  </si>
  <si>
    <t>Common Washer, kWh/yr-machine</t>
  </si>
  <si>
    <t>DRYER</t>
  </si>
  <si>
    <t>T24 EQP WD</t>
  </si>
  <si>
    <t>Apt Equipment 1</t>
  </si>
  <si>
    <t>Corr &amp; Stairs Equipment 1</t>
  </si>
  <si>
    <t>Elevator W/SqFt</t>
  </si>
  <si>
    <t>Elevator Equipment 1</t>
  </si>
  <si>
    <t>Office W/SqFt</t>
  </si>
  <si>
    <t>Office Equipment 1</t>
  </si>
  <si>
    <t>Common area plug load schedule, SG 2.11 (Same as T24 EQP WD)</t>
  </si>
  <si>
    <t>Apartment Plug load schedule (Same as T24 DAY EQP WD)</t>
  </si>
  <si>
    <t>SqFt</t>
  </si>
  <si>
    <t>W</t>
  </si>
  <si>
    <t>Uncovered parking lots and drives</t>
  </si>
  <si>
    <t>Walkways 10ft wide or greater</t>
  </si>
  <si>
    <t>Exterior stairways</t>
  </si>
  <si>
    <t>Canopies and overhangs</t>
  </si>
  <si>
    <t>Building Facades  (1)</t>
  </si>
  <si>
    <t xml:space="preserve">Lighting Power Density, </t>
  </si>
  <si>
    <t>Linear feet</t>
  </si>
  <si>
    <t>W/linear foot</t>
  </si>
  <si>
    <t>Ft</t>
  </si>
  <si>
    <t>Walkways less than 10 ft wide</t>
  </si>
  <si>
    <t>Enter actual NFRC values in the Proposed column.</t>
  </si>
  <si>
    <t>UA for eQuest</t>
  </si>
  <si>
    <t>Main building entrance (2)</t>
  </si>
  <si>
    <t xml:space="preserve">Other exterior doors (2) </t>
  </si>
  <si>
    <t>Building Facades  (3)</t>
  </si>
  <si>
    <t>Baseline DW</t>
  </si>
  <si>
    <t xml:space="preserve">GAL/YR PER APT = </t>
  </si>
  <si>
    <t>gallons/day-apt (1 dishwasher)</t>
  </si>
  <si>
    <t>Proposed DW</t>
  </si>
  <si>
    <t>Average Combined Hourly Infiltration/Ventilation Rate, ACH</t>
  </si>
  <si>
    <t>Average Combined Hourly Infiltration/Ventilation Rate, CFM/SF</t>
  </si>
  <si>
    <t>Basic Project Information</t>
  </si>
  <si>
    <t>Residential</t>
  </si>
  <si>
    <t>Storage, active</t>
  </si>
  <si>
    <t>Storage, inactive</t>
  </si>
  <si>
    <t>Lobby</t>
  </si>
  <si>
    <t>Corridor/Transition</t>
  </si>
  <si>
    <t>Stairs - Active</t>
  </si>
  <si>
    <t>Restroom</t>
  </si>
  <si>
    <t>Electrical/Mechanical</t>
  </si>
  <si>
    <t>Workshop</t>
  </si>
  <si>
    <t>Parking garage</t>
  </si>
  <si>
    <t>Baseline</t>
  </si>
  <si>
    <t>Proposed</t>
  </si>
  <si>
    <t xml:space="preserve">Enter hours/day in the cell highlighted in this color to generate a 24 hour schedule in column F. </t>
  </si>
  <si>
    <t xml:space="preserve">Exterior Lighting </t>
  </si>
  <si>
    <t>Garage, Corridors, Lobbies &amp; Stairs</t>
  </si>
  <si>
    <t>Elevator lighting should only be assigned to ONE elevator zone.</t>
  </si>
  <si>
    <t>Instructions:</t>
  </si>
  <si>
    <t>sum of area of all common laundry rooms</t>
  </si>
  <si>
    <t>Are they Energy Star rated? (Y/N/NA)</t>
  </si>
  <si>
    <t>These values will used to calculate the performance rating in the Simulation Summary worksheet</t>
  </si>
  <si>
    <t>Baseline PTAC fan energy should be simulated as 0.3 W/CFM</t>
  </si>
  <si>
    <t>Proposed lighting power density, W/SqFt</t>
  </si>
  <si>
    <t>5. Indicate how many fixtures of each type are in each room in Column E.</t>
  </si>
  <si>
    <t>8. If you need more rows for your building, add them at the bottom by copying rows above (or filling down).</t>
  </si>
  <si>
    <t>Fuel</t>
  </si>
  <si>
    <t>Type</t>
  </si>
  <si>
    <t>Loads</t>
  </si>
  <si>
    <t>#s</t>
  </si>
  <si>
    <t>Name</t>
  </si>
  <si>
    <t>Fwd</t>
  </si>
  <si>
    <t>First Cost ($)</t>
  </si>
  <si>
    <t>Refuse Room</t>
  </si>
  <si>
    <t>Laundry Room</t>
  </si>
  <si>
    <t>Sensible</t>
  </si>
  <si>
    <t>Latent</t>
  </si>
  <si>
    <t>Heat Ratio</t>
  </si>
  <si>
    <t>Average of 4 exposures (needed in Simulation Summary)</t>
  </si>
  <si>
    <t>Parking Garage</t>
  </si>
  <si>
    <t>Non Apartment, Non 24 hour</t>
  </si>
  <si>
    <t>Apartment Adjustment</t>
  </si>
  <si>
    <t>Hour</t>
  </si>
  <si>
    <t>GPM w/DOE APT DHW schedule</t>
  </si>
  <si>
    <t>Schedule</t>
  </si>
  <si>
    <t>DOE APT DHW</t>
  </si>
  <si>
    <t>EER</t>
  </si>
  <si>
    <t>Total Input kW</t>
  </si>
  <si>
    <t>Supply fan power W</t>
  </si>
  <si>
    <t>Gross Cooling Cap (ARI Cond) Btu/hr</t>
  </si>
  <si>
    <t>Fan kW/CFM</t>
  </si>
  <si>
    <t>N</t>
  </si>
  <si>
    <t>Building Area Summary (conditioned spaces only)</t>
  </si>
  <si>
    <t>In-Unit Lighting Table</t>
  </si>
  <si>
    <t>Room Area, SqFt</t>
  </si>
  <si>
    <t>Number of such rooms in the building</t>
  </si>
  <si>
    <t>Total Area, SqFt</t>
  </si>
  <si>
    <t>Summary</t>
  </si>
  <si>
    <t>Total in-unit area with specified lighting, SqFt</t>
  </si>
  <si>
    <t>Total specified lighting, W</t>
  </si>
  <si>
    <t>Specified lighting power density, W/SqFt</t>
  </si>
  <si>
    <t>Baseline lighting power density, W/SqFt</t>
  </si>
  <si>
    <t>Room Types</t>
  </si>
  <si>
    <t>Bathroom</t>
  </si>
  <si>
    <t>Bedroom</t>
  </si>
  <si>
    <t>Closet</t>
  </si>
  <si>
    <t>Dining Room</t>
  </si>
  <si>
    <t>Family Room</t>
  </si>
  <si>
    <t>Hall</t>
  </si>
  <si>
    <t>Kitchen</t>
  </si>
  <si>
    <t>Living Room</t>
  </si>
  <si>
    <t>Office</t>
  </si>
  <si>
    <t>Utility Room</t>
  </si>
  <si>
    <t>Baseline CW</t>
  </si>
  <si>
    <t>hot water gallons/yr  =</t>
  </si>
  <si>
    <t>Proposed CW</t>
  </si>
  <si>
    <t>Toilets</t>
  </si>
  <si>
    <t>Urinals</t>
  </si>
  <si>
    <t>DHW Storage Volume (gallons)</t>
  </si>
  <si>
    <t>Surface Area</t>
  </si>
  <si>
    <t>radius</t>
  </si>
  <si>
    <t>height</t>
  </si>
  <si>
    <t>DHW Storage Volume (cubic feet)</t>
  </si>
  <si>
    <t>NFRC U-value</t>
  </si>
  <si>
    <t>NFRC SHGC</t>
  </si>
  <si>
    <t>Daily operating hours</t>
  </si>
  <si>
    <t>hr/day</t>
  </si>
  <si>
    <t>APT LTG WD</t>
  </si>
  <si>
    <t>Adjusted Fraction</t>
  </si>
  <si>
    <t>Hr</t>
  </si>
  <si>
    <t>Fraction</t>
  </si>
  <si>
    <t>Refrigerator, kWh/yr-unit</t>
  </si>
  <si>
    <t>Refrigerator, kWh/yr-blg</t>
  </si>
  <si>
    <t>Refrigerator, W/SqFt</t>
  </si>
  <si>
    <t>Electric Stove, kWh/yr-unit</t>
  </si>
  <si>
    <t>Stove, W/SqFt</t>
  </si>
  <si>
    <t>In-unit, misc. kWh/yr-SqFt (SG 2-11)</t>
  </si>
  <si>
    <t xml:space="preserve">In-unit misc W/SqFt </t>
  </si>
  <si>
    <t>Apartments</t>
  </si>
  <si>
    <t>Area, SqFt</t>
  </si>
  <si>
    <t>Notes</t>
  </si>
  <si>
    <t xml:space="preserve">Residential </t>
  </si>
  <si>
    <t>Pumps</t>
  </si>
  <si>
    <t>Total</t>
  </si>
  <si>
    <t>Studio</t>
  </si>
  <si>
    <t>1 - Bedroom</t>
  </si>
  <si>
    <t>2 - Bedroom</t>
  </si>
  <si>
    <t>Building Area</t>
  </si>
  <si>
    <t>Conference/meeting/multipurpose</t>
  </si>
  <si>
    <t>Garage</t>
  </si>
  <si>
    <t>Other</t>
  </si>
  <si>
    <t>Natural Gas</t>
  </si>
  <si>
    <t>If oil is used rather than natural gas, modifications to table are needed.</t>
  </si>
  <si>
    <t>Include total floor area of all residential units in building</t>
  </si>
  <si>
    <t>Common Area</t>
  </si>
  <si>
    <t>Commercial Area</t>
  </si>
  <si>
    <t>Total Conditioned</t>
  </si>
  <si>
    <t>Fuel Cost</t>
  </si>
  <si>
    <t>Electricity</t>
  </si>
  <si>
    <t>$/kWh</t>
  </si>
  <si>
    <t>$/Therm</t>
  </si>
  <si>
    <t>Performance Rating Calculation</t>
  </si>
  <si>
    <t>BTU Savings, %</t>
  </si>
  <si>
    <t>$ Savings, %</t>
  </si>
  <si>
    <t>Electricity, Btu</t>
  </si>
  <si>
    <t>R-value</t>
  </si>
  <si>
    <t>Yes</t>
  </si>
  <si>
    <t>No</t>
  </si>
  <si>
    <t>Cost, $</t>
  </si>
  <si>
    <t>Annual Heating</t>
  </si>
  <si>
    <t xml:space="preserve">Annual Cooling </t>
  </si>
  <si>
    <t>Annual Lighting</t>
  </si>
  <si>
    <t>Annual Hot Water</t>
  </si>
  <si>
    <t>Annual Appliance</t>
  </si>
  <si>
    <t>Annual Other</t>
  </si>
  <si>
    <t>Cooling</t>
  </si>
  <si>
    <t>Therms</t>
  </si>
  <si>
    <t>Electric</t>
  </si>
  <si>
    <t>TDV-kBtu/sf/yr</t>
  </si>
  <si>
    <t>Energy Usage per Square Foot of Conditioned Area</t>
  </si>
  <si>
    <t>Btu/SqFt</t>
  </si>
  <si>
    <t>Under Ground Garage</t>
  </si>
  <si>
    <t>Above Ground Garage</t>
  </si>
  <si>
    <t>Parking Lot</t>
  </si>
  <si>
    <t>Gas</t>
  </si>
  <si>
    <t>Energy</t>
  </si>
  <si>
    <t>Average</t>
  </si>
  <si>
    <t>(3) Enter total linear foot of all illuminated wall or surface length</t>
  </si>
  <si>
    <t>(4) Total values include additional 5% allowance per Section 9.4.5</t>
  </si>
  <si>
    <t>kBtu</t>
  </si>
  <si>
    <t>Watts/Fixture</t>
  </si>
  <si>
    <t>MUST BE ALPHABETICAL</t>
  </si>
  <si>
    <t>A</t>
  </si>
  <si>
    <t>B</t>
  </si>
  <si>
    <t>C</t>
  </si>
  <si>
    <t>D</t>
  </si>
  <si>
    <t>E</t>
  </si>
  <si>
    <t>F</t>
  </si>
  <si>
    <t>G</t>
  </si>
  <si>
    <t>H</t>
  </si>
  <si>
    <t>I</t>
  </si>
  <si>
    <t>J</t>
  </si>
  <si>
    <t>K</t>
  </si>
  <si>
    <t>L</t>
  </si>
  <si>
    <t>M</t>
  </si>
  <si>
    <t>Square Footage</t>
  </si>
  <si>
    <t>ASHRAE Space Type</t>
  </si>
  <si>
    <t>Installed quantity</t>
  </si>
  <si>
    <t>Fixture Installed Wattage</t>
  </si>
  <si>
    <t>Floor Multiplier</t>
  </si>
  <si>
    <t>Total Installed Wattage</t>
  </si>
  <si>
    <t>W/SF</t>
  </si>
  <si>
    <t>Exit Signs</t>
  </si>
  <si>
    <t xml:space="preserve">Instructions: </t>
  </si>
  <si>
    <t>Fill in cells highlighted with this color.</t>
  </si>
  <si>
    <t>CFM</t>
  </si>
  <si>
    <t>Space Type</t>
  </si>
  <si>
    <t>Number of Units (per building)</t>
  </si>
  <si>
    <t>Building Areas (per building)</t>
  </si>
  <si>
    <t>Type of Garage</t>
  </si>
  <si>
    <t>None</t>
  </si>
  <si>
    <t>Ceiling Height, Ft</t>
  </si>
  <si>
    <t>Total Volume For Space Type, CuFt</t>
  </si>
  <si>
    <t>Exhaust Runtime, hr/day</t>
  </si>
  <si>
    <t>Assumed Infiltration Rate, ACH</t>
  </si>
  <si>
    <t>Equivalent Continuous Exhaust, ACH</t>
  </si>
  <si>
    <t>Supply Ventilation, CFM</t>
  </si>
  <si>
    <t>Supply Runtime, hr/day</t>
  </si>
  <si>
    <t>Equivalent Continuous Supply, ACH</t>
  </si>
  <si>
    <t>Minimum Outdoor Air Requirements, ACH</t>
  </si>
  <si>
    <t>Proposed Design</t>
  </si>
  <si>
    <t>Common Space Systems</t>
  </si>
  <si>
    <t>Common Space System1</t>
  </si>
  <si>
    <t>Common Space System2</t>
  </si>
  <si>
    <t>Common Space System3</t>
  </si>
  <si>
    <t>Common Space System4</t>
  </si>
  <si>
    <t>Common Space System5</t>
  </si>
  <si>
    <t>Common Space System6</t>
  </si>
  <si>
    <t>System Type</t>
  </si>
  <si>
    <t>PTAC</t>
  </si>
  <si>
    <t>Net Cooling Capacity, Btu/Hr</t>
  </si>
  <si>
    <t>Fan BHP</t>
  </si>
  <si>
    <t>Fan Motor Efficiency</t>
  </si>
  <si>
    <t>EIR or 1/COP</t>
  </si>
  <si>
    <t>Discount Rate:</t>
  </si>
  <si>
    <t>Baseline Components</t>
  </si>
  <si>
    <t>Proposed Components</t>
  </si>
  <si>
    <t>Incremental Metrics</t>
  </si>
  <si>
    <t>Lifecycle Savings</t>
  </si>
  <si>
    <t>Weighted Lifetime</t>
  </si>
  <si>
    <t>Description</t>
  </si>
  <si>
    <t>Baseline Cost</t>
  </si>
  <si>
    <t>Proposed Cost</t>
  </si>
  <si>
    <t>Lifetime</t>
  </si>
  <si>
    <t>Energy Savings</t>
  </si>
  <si>
    <t>Costs</t>
  </si>
  <si>
    <t>Cost Savings</t>
  </si>
  <si>
    <t>Payback</t>
  </si>
  <si>
    <t>S.I.R.</t>
  </si>
  <si>
    <t>years</t>
  </si>
  <si>
    <t>MMBtu</t>
  </si>
  <si>
    <t>Energy Reduction Measures and Incremental Hard Costs</t>
  </si>
  <si>
    <t>Step1:</t>
  </si>
  <si>
    <t>Step2:</t>
  </si>
  <si>
    <t>Step3:</t>
  </si>
  <si>
    <t>(these rows can be manually entered for calculations done outside of eQuest such as Solar Hot Water, Solar PV, etc)</t>
  </si>
  <si>
    <t>Table 1. General Project Information</t>
  </si>
  <si>
    <t>Current Project Status:</t>
  </si>
  <si>
    <t>Builder / Developer:</t>
  </si>
  <si>
    <t>End Date (mo/yr):</t>
  </si>
  <si>
    <t>Name of contact:</t>
  </si>
  <si>
    <t>Project Name:</t>
  </si>
  <si>
    <t>Phone:</t>
  </si>
  <si>
    <t>Project Address:</t>
  </si>
  <si>
    <t>E-mail:</t>
  </si>
  <si>
    <t>Project City, State:</t>
  </si>
  <si>
    <t>Table 2. Modeling Information</t>
  </si>
  <si>
    <t>Modeler:</t>
  </si>
  <si>
    <t>Simulation Program:</t>
  </si>
  <si>
    <t>Company:</t>
  </si>
  <si>
    <t>Baseline:</t>
  </si>
  <si>
    <t>Weather File:</t>
  </si>
  <si>
    <t>Table 3. Building Information</t>
  </si>
  <si>
    <t># of stories</t>
  </si>
  <si>
    <t>Space heating fuel:</t>
  </si>
  <si>
    <t>Common space</t>
  </si>
  <si>
    <t>DHW fuel:</t>
  </si>
  <si>
    <t>Commercial</t>
  </si>
  <si>
    <t>Heating system:</t>
  </si>
  <si>
    <t>Cooling system:</t>
  </si>
  <si>
    <t>Ventilation system:</t>
  </si>
  <si>
    <t>Heated &amp; cooled</t>
  </si>
  <si>
    <t>Heated-only</t>
  </si>
  <si>
    <t>Cooled-only</t>
  </si>
  <si>
    <t>Apartment type</t>
  </si>
  <si>
    <t>1-BR</t>
  </si>
  <si>
    <t>2-BR</t>
  </si>
  <si>
    <t>3-BR</t>
  </si>
  <si>
    <t>4-BR</t>
  </si>
  <si>
    <t>Model Input Parameter</t>
  </si>
  <si>
    <t>Example Unit</t>
  </si>
  <si>
    <t>Baseline Design
(provide description and specification)</t>
  </si>
  <si>
    <t>Proposed Final Design
(provide description and specification)</t>
  </si>
  <si>
    <t>Building envelope</t>
  </si>
  <si>
    <t>Ext. wall construction</t>
  </si>
  <si>
    <t>Roof construction</t>
  </si>
  <si>
    <t>Floor / slab construction</t>
  </si>
  <si>
    <t>Windows</t>
  </si>
  <si>
    <t>U-factor</t>
  </si>
  <si>
    <t>North-facing windows</t>
  </si>
  <si>
    <t>SHGC</t>
  </si>
  <si>
    <t>Other window area</t>
  </si>
  <si>
    <t>Shading devices</t>
  </si>
  <si>
    <t>Lighting &amp; appliances</t>
  </si>
  <si>
    <t>Lighting power density:</t>
  </si>
  <si>
    <t>In-unit lighting power density</t>
  </si>
  <si>
    <t>Other interior lighting</t>
  </si>
  <si>
    <t>Exterior lighting</t>
  </si>
  <si>
    <t>Lighting controls</t>
  </si>
  <si>
    <t>Refrigerator</t>
  </si>
  <si>
    <t>Energy Star?</t>
  </si>
  <si>
    <t>Dishwasher</t>
  </si>
  <si>
    <t>Washer / dryer</t>
  </si>
  <si>
    <t>Primary HVAC system type</t>
  </si>
  <si>
    <t>Exhaust fans</t>
  </si>
  <si>
    <t>Heating efficiency</t>
  </si>
  <si>
    <t>AFUE / HSPF</t>
  </si>
  <si>
    <t>Cooling efficiency</t>
  </si>
  <si>
    <t>SEER / EER</t>
  </si>
  <si>
    <t>Fan supply power</t>
  </si>
  <si>
    <t>Domestic Hot Water System</t>
  </si>
  <si>
    <t>Equipment effiency</t>
  </si>
  <si>
    <t>EF</t>
  </si>
  <si>
    <t>Faucets</t>
  </si>
  <si>
    <t>Solar DHW system</t>
  </si>
  <si>
    <t>% of load</t>
  </si>
  <si>
    <t>Renewable Electric Generation System</t>
  </si>
  <si>
    <t>Type of system</t>
  </si>
  <si>
    <t>Rated capacity</t>
  </si>
  <si>
    <t>End Use</t>
  </si>
  <si>
    <t>Fuel Oil</t>
  </si>
  <si>
    <t>First, fill in Basic Info tab.</t>
  </si>
  <si>
    <t>In the "Baseline Fixture" table, enter an estimated number of uses/day for urinals in the appropriate space.  Enter "0" if there are no urinals in building.</t>
  </si>
  <si>
    <t>The baseline usage values will generate automatically.</t>
  </si>
  <si>
    <t>In the "Proposed Fixture" table, enter the flow rate for each proposed fixture type.</t>
  </si>
  <si>
    <t>When on-site collected graywater or rainwater is used for sewage conveyance, the total estimated annual graywater quantity may be subtracted from the total annual design case water usage. Estimated graywater quantity may not be greater than the total usage of fixtures that utilize it. For example, if graywater will be used only in flush toilets, the estimated graywater quantity cannot be greater than the total annual water used by the toilets.  Estimate graywater usage for each fixture type and enter the value in the appropriate cell.</t>
  </si>
  <si>
    <t>No. of Occupants</t>
  </si>
  <si>
    <t>Dishwasher Savings (Gal/yr)</t>
  </si>
  <si>
    <t>Clothes Washers Savings (Gal/yr)</t>
  </si>
  <si>
    <t>Baseline Fixture</t>
  </si>
  <si>
    <t>Baseline Usage (Gallons/year)</t>
  </si>
  <si>
    <t>Proposed Fixture</t>
  </si>
  <si>
    <t>Proposed Fixture Flow Rate (GPM/GPF)</t>
  </si>
  <si>
    <t>Graywater Usage (Gallons/year)</t>
  </si>
  <si>
    <t>Proposed Usage (Gallons/year)</t>
  </si>
  <si>
    <t>Savings by Fixture Type</t>
  </si>
  <si>
    <t>Water Usage Savings (Gallons/year)</t>
  </si>
  <si>
    <t>Cost Savings ($/year)</t>
  </si>
  <si>
    <t>Baseline Flow Rates (GPF/GPM)</t>
  </si>
  <si>
    <t>First fill in the Interior Lighting tab (this information will populate the square footages for this table)</t>
  </si>
  <si>
    <t>Only fill in cells highlighted with this color.</t>
  </si>
  <si>
    <t xml:space="preserve">The remaining values will generate automatically.  Water usage savings and cost savings may be reported as indicated in the Water Savings section of the Simulation Guidelines. </t>
  </si>
  <si>
    <t>Average Price per Gallon of Water</t>
  </si>
  <si>
    <t>Data to be entered into software.</t>
  </si>
  <si>
    <t>Occupancy</t>
  </si>
  <si>
    <t>Low</t>
  </si>
  <si>
    <t>Medium</t>
  </si>
  <si>
    <t>High</t>
  </si>
  <si>
    <t>gallons per person per day</t>
  </si>
  <si>
    <r>
      <t>Total Gal/day</t>
    </r>
    <r>
      <rPr>
        <b/>
        <sz val="10"/>
        <color indexed="10"/>
        <rFont val="Arial"/>
        <family val="2"/>
      </rPr>
      <t xml:space="preserve"> (w/both DW &amp; CW)</t>
    </r>
  </si>
  <si>
    <t>Total Gal/day (occupant only)</t>
  </si>
  <si>
    <t>Total hot water gallons/day (all clothes washers)</t>
  </si>
  <si>
    <t>First fill in the Basic Info and Water Savings tabs.</t>
  </si>
  <si>
    <t>Stove Type</t>
  </si>
  <si>
    <t>Baseline kWh/yr for elevator</t>
  </si>
  <si>
    <t>Proposed kWh/yr (same as Baseline if not requesting performance credit)</t>
  </si>
  <si>
    <t>Elevator Type:</t>
  </si>
  <si>
    <t>Area of Elevator:</t>
  </si>
  <si>
    <t>Equipment # (optional)</t>
  </si>
  <si>
    <t>Apt Equipment [#]</t>
  </si>
  <si>
    <t>Use this worksheet to generate schedules for lighting inputs.</t>
  </si>
  <si>
    <t>Do not edit cells highlighted in this color. These calculated values are for editing or creating schedules.</t>
  </si>
  <si>
    <t>Credit for occupancy sensors can be applied to corridors and stairs by reducing proposed W/SF by 25% and 35% respectively.</t>
  </si>
  <si>
    <t>Do not edit cells highlighted in this color. These calculated values are to be entered into software as W/SF for Apartment zones.</t>
  </si>
  <si>
    <t>BASELINE W/SF</t>
  </si>
  <si>
    <t>BASELINE WATTS</t>
  </si>
  <si>
    <t>Data to be entered into simulation software.</t>
  </si>
  <si>
    <t>Supply Ventilation for Apartments should be mechanical supply or trickle vents, but not corridor make-up air.</t>
  </si>
  <si>
    <t>ACH or CFM/SF can be used for data entry.</t>
  </si>
  <si>
    <t>Data to be entered in simulation software.</t>
  </si>
  <si>
    <t>For gas heated buildings using System 1 - PTAC, use the top chart to calculate cooling-EIR</t>
  </si>
  <si>
    <t>For electric heated buildings using System 2 - PTHP, use the bottom chart to calculate cooling-EIR</t>
  </si>
  <si>
    <t>Number of Stories:</t>
  </si>
  <si>
    <t>Sign-off by energy modeler</t>
  </si>
  <si>
    <t>Signature:</t>
  </si>
  <si>
    <t>I hereby verify that the information provided in the tables below is accurate and complete, to the best of my knowledge.</t>
  </si>
  <si>
    <t>Name:</t>
  </si>
  <si>
    <t>Date:</t>
  </si>
  <si>
    <t>Sign-off by project team leader</t>
  </si>
  <si>
    <r>
      <t xml:space="preserve">LEED for Homes Mid-rise Pilot 
</t>
    </r>
    <r>
      <rPr>
        <b/>
        <sz val="16"/>
        <rFont val="Arial"/>
        <family val="2"/>
      </rPr>
      <t>Energy Model Information Form</t>
    </r>
  </si>
  <si>
    <t xml:space="preserve">Please provide the information in the following tables. This information should be provided by the energy modeler with input from the project team. This form should be submitted to USGBC at the end of design (after completion of CDs), then updated upon final construction and on-site verification. </t>
  </si>
  <si>
    <t>Mbtu</t>
  </si>
  <si>
    <t>Schedules</t>
  </si>
  <si>
    <t>Heating temp (occ/unocc)</t>
  </si>
  <si>
    <t>°F, hours</t>
  </si>
  <si>
    <t>Cooling temp (occ/unocc)</t>
  </si>
  <si>
    <t>hours/day</t>
  </si>
  <si>
    <t>Interior non-apt lighting</t>
  </si>
  <si>
    <t>Interior apt lighting</t>
  </si>
  <si>
    <t>Window/wall area ratio</t>
  </si>
  <si>
    <t>WWA</t>
  </si>
  <si>
    <t>Space, %</t>
  </si>
  <si>
    <t>Refrigerators</t>
  </si>
  <si>
    <t>Model, #</t>
  </si>
  <si>
    <t>Annual energy use</t>
  </si>
  <si>
    <t>kWh/year</t>
  </si>
  <si>
    <t>Dishwashers</t>
  </si>
  <si>
    <t>Annual hot water use</t>
  </si>
  <si>
    <t>gal/year</t>
  </si>
  <si>
    <t>Clothes Washers</t>
  </si>
  <si>
    <t>Clothes Dryers</t>
  </si>
  <si>
    <t>Elec/gas</t>
  </si>
  <si>
    <t>kWh, therms</t>
  </si>
  <si>
    <t>Cooking Fuel</t>
  </si>
  <si>
    <t>Apartment Plug Loads</t>
  </si>
  <si>
    <t>Non-apartment Plug Loads</t>
  </si>
  <si>
    <t>W/sf or kWh/sf</t>
  </si>
  <si>
    <t>Elevators</t>
  </si>
  <si>
    <t>Type, model</t>
  </si>
  <si>
    <t>HVAC System</t>
  </si>
  <si>
    <t>System 1, 2</t>
  </si>
  <si>
    <t>Exhaust fan efficiency</t>
  </si>
  <si>
    <t>CFM/watt</t>
  </si>
  <si>
    <t>Infiltration rate</t>
  </si>
  <si>
    <t>ACH, CFM/p</t>
  </si>
  <si>
    <t>Exhaust rates</t>
  </si>
  <si>
    <t>AFUE / COP</t>
  </si>
  <si>
    <t>Hot water loop parameters</t>
  </si>
  <si>
    <t>°F, reset</t>
  </si>
  <si>
    <t>Hot water pump parameters</t>
  </si>
  <si>
    <t>VSD, W/gpm</t>
  </si>
  <si>
    <t>Fan supply volume</t>
  </si>
  <si>
    <t>Distribution efficiency</t>
  </si>
  <si>
    <t>1.0 / 0.95</t>
  </si>
  <si>
    <t>Cooling adjustment coeff</t>
  </si>
  <si>
    <t>Total hot water demand</t>
  </si>
  <si>
    <t>gal/day</t>
  </si>
  <si>
    <t>0 degree rotation</t>
  </si>
  <si>
    <t>90 degree rotation</t>
  </si>
  <si>
    <t>180 degree rotation</t>
  </si>
  <si>
    <t>270 degree rotation</t>
  </si>
  <si>
    <t>average monthly electricity costs per apartment</t>
  </si>
  <si>
    <t>average monthly gas costs per apartment</t>
  </si>
  <si>
    <t>Parametric Run</t>
  </si>
  <si>
    <t>Energy Savings By Measure (copy runs that correspond to EACH parametric run from &lt;project name&gt;-Parms.csv to rows below). These are used to calculate savings in SIR by Measure worksheet</t>
  </si>
  <si>
    <t>Likewise, for some rooms, the areas for which lighting is specified may be LESS than the total area of the room. If the specified fixtures are intended to light only a portion of the room, enter the square feet of the lighted area only, per your own estimation, but not to exceed 2 square feet per Watt. (Ex. A 13 Watt wall sconce in a bedroom can light at most 26 square feet and should not be modeled as lighting the entire space.)</t>
  </si>
  <si>
    <t>Site BTU Savings, %</t>
  </si>
  <si>
    <t>Watts</t>
  </si>
  <si>
    <t>W/SF, per ASHRAE 90.1, Table 9.6.1</t>
  </si>
  <si>
    <t>Baseline Lighting Allowance</t>
  </si>
  <si>
    <t>Proposed Lighting Allowance</t>
  </si>
  <si>
    <t>Total Exterior Building Allowance to be entered in Energy Models (4)</t>
  </si>
  <si>
    <t xml:space="preserve">Use values from the cells highlighted in this color in the energy simulations. </t>
  </si>
  <si>
    <t>5 W/face</t>
  </si>
  <si>
    <t>None Installed</t>
  </si>
  <si>
    <t>ENERGY STAR</t>
  </si>
  <si>
    <t>Non-ENERGY STAR</t>
  </si>
  <si>
    <t>HSPF</t>
  </si>
  <si>
    <t>SEER</t>
  </si>
  <si>
    <t>Equipment efficiency</t>
  </si>
  <si>
    <t>COP</t>
  </si>
  <si>
    <t>% AFUE</t>
  </si>
  <si>
    <t>% Et</t>
  </si>
  <si>
    <t>F-factor or R</t>
  </si>
  <si>
    <t>U-factor or R</t>
  </si>
  <si>
    <t>kWh/sf</t>
  </si>
  <si>
    <t>CFM/W</t>
  </si>
  <si>
    <t>HP</t>
  </si>
  <si>
    <t>BHP</t>
  </si>
  <si>
    <t>Exhaust Fan Type</t>
  </si>
  <si>
    <t>Ceiling (10-80 CFM)</t>
  </si>
  <si>
    <t>Ceiling (90-500 CFM)</t>
  </si>
  <si>
    <t>Motor Efficiency</t>
  </si>
  <si>
    <r>
      <t>P</t>
    </r>
    <r>
      <rPr>
        <sz val="8"/>
        <rFont val="Arial"/>
        <family val="2"/>
      </rPr>
      <t>fan (Watts)</t>
    </r>
  </si>
  <si>
    <t>ACH</t>
  </si>
  <si>
    <t>72/70</t>
  </si>
  <si>
    <t>78/80</t>
  </si>
  <si>
    <t>Table 6. Outputs:  Estimated Consumption for Baseline Design</t>
  </si>
  <si>
    <t>Common Area Equipment 1</t>
  </si>
  <si>
    <t>Corridor, restrooms &amp; Stairs W/SqFt</t>
  </si>
  <si>
    <t>Other Public and Common Area W/SqFt</t>
  </si>
  <si>
    <t>Lumens/fixture</t>
  </si>
  <si>
    <t>CALCULATED FOOTCANDLES</t>
  </si>
  <si>
    <t>IESNA FOOTCANDLES</t>
  </si>
  <si>
    <t>March 2010 Update</t>
  </si>
  <si>
    <t>In addition to this form, every project must submit the following:</t>
  </si>
  <si>
    <t>1) sample input summary reports, 
2) output reports showing consumption by end-use, energy cost by fuel, and unmet load hours.
3) calculations for appliances, domestic hot water, and lighting, as per the EPA Multifamily High Rise Program Simulation Guidelines, published November 2009
4) calculations related to renewable energy use (California projects only)</t>
  </si>
  <si>
    <t>2) output reports showing consumption by end-use, energy cost by fuel, and unmet load hours.
3) calculations for appliances, domestic hot water, and lighting, as per the EPA Multifamily High Rise Program Simulation Guidelines, published November 2009
4) calculations related to renewable energy use (California projects only)</t>
  </si>
  <si>
    <t>3) calculations for appliances, domestic hot water, and lighting, as per the EPA Multifamily High Rise Program 
     Simulation Guidelines, published November 2009.</t>
  </si>
  <si>
    <t>4) calculations related to renewable energy use (California projects only)</t>
  </si>
  <si>
    <t xml:space="preserve">Examples of reports include: </t>
  </si>
  <si>
    <t>TREAT:</t>
  </si>
  <si>
    <t>TREAT Input, TREAT Output, NYSERDA Spreadsheets for TREAT</t>
  </si>
  <si>
    <t>DOE-2:</t>
  </si>
  <si>
    <t>BEPS, BEPU, ES-D</t>
  </si>
  <si>
    <t>EnergyPro:</t>
  </si>
  <si>
    <t>PERF-1, UTIL-1, ECON-1, Mid-Rise Title 24 Spreadsheet</t>
  </si>
  <si>
    <t>TRACE:</t>
  </si>
  <si>
    <t>Entered Values, Energy Cost Budget, Energy Consumption Summary, Equipment Energy Consumption</t>
  </si>
  <si>
    <t>HAP:</t>
  </si>
  <si>
    <t>Annual Cost Summary, Energy Cost Budget by System Component, Unmet Load Report</t>
  </si>
  <si>
    <t>HAP v4.4:</t>
  </si>
  <si>
    <t>LEED NC 2.2 EA Credit 1 Summary Report</t>
  </si>
  <si>
    <t>Heating system type:</t>
  </si>
  <si>
    <t>Cooling system type:</t>
  </si>
  <si>
    <t>Ventilation system type:</t>
  </si>
  <si>
    <t>Table 4. Comparison of Inputs</t>
  </si>
  <si>
    <t>Table 5. Comparison of Estimated Consumption</t>
  </si>
  <si>
    <t>ASHRAE 90.1-2007</t>
  </si>
  <si>
    <t>Nonresidential</t>
  </si>
  <si>
    <t>Baseline fenestration is based on construction. Wood-frame buildings use nonmetal framing; all others use applicable metal framing.</t>
  </si>
  <si>
    <t>For proposed design simulation, enter exterior lighting specified on drawings.</t>
  </si>
  <si>
    <t>&lt;Enter "0" below if no urinals&gt;</t>
  </si>
  <si>
    <t>Illumination (footcandles or
lumens/SqFt)</t>
  </si>
  <si>
    <t>Cells highlighted in red indicate spaces where estimated lumen output of fixture does not provide minimum illumination (16 lumens/SqFt) per IESNA.</t>
  </si>
  <si>
    <t xml:space="preserve">If Proposed façade lighting is less than Baseline allowance, model baseline the same as proposed. </t>
  </si>
  <si>
    <t xml:space="preserve">If Proposed façade lighting exceeds Baseline allowance, model proposed as designed. </t>
  </si>
  <si>
    <r>
      <t xml:space="preserve">Include floor area of </t>
    </r>
    <r>
      <rPr>
        <sz val="10"/>
        <rFont val="Arial"/>
        <family val="2"/>
      </rPr>
      <t>enclosed/underground garages</t>
    </r>
  </si>
  <si>
    <t>Include combined floor area of residential-associated spaces (corridors, recreation areas, lobbies, etc.)</t>
  </si>
  <si>
    <t>Include combined floor area of nonresidential spaces (commerical, office, retail, food sales, etc.)</t>
  </si>
  <si>
    <t>EIR or 1/COP (including fan energy)</t>
  </si>
  <si>
    <t>Corridor Supply Air can be modeled as Outside Air in software.</t>
  </si>
  <si>
    <t>Kitchen Area:</t>
  </si>
  <si>
    <t>Kitchen Ceiling height:</t>
  </si>
  <si>
    <t>Continuous CFM equivalent to 5ACH (62.2-2007):</t>
  </si>
  <si>
    <t>Whole Unit Ventilation Rate (62.2-2007):</t>
  </si>
  <si>
    <t>Studios</t>
  </si>
  <si>
    <t>1BR</t>
  </si>
  <si>
    <t>2BR</t>
  </si>
  <si>
    <t>3BR</t>
  </si>
  <si>
    <t>4BR</t>
  </si>
  <si>
    <t>Average Area (SqFt):</t>
  </si>
  <si>
    <t>ENERGY STAR? (Y/N)</t>
  </si>
  <si>
    <t>If building uses more than one fossil fuel or uses oil instead of gas for heating, adjustments are needed.</t>
  </si>
  <si>
    <t>Climate Zone 1</t>
  </si>
  <si>
    <t>Metal Framing (all other)</t>
  </si>
  <si>
    <t>Nonmetal Framing (all)</t>
  </si>
  <si>
    <t>Metal Framing (entrance door)</t>
  </si>
  <si>
    <t>Metal Framing (storefront)</t>
  </si>
  <si>
    <t>U-value</t>
  </si>
  <si>
    <t xml:space="preserve">Climate Zone 2 </t>
  </si>
  <si>
    <t>Climate Zone 3</t>
  </si>
  <si>
    <t>Climate Zone 4</t>
  </si>
  <si>
    <t>Climate Zone 5</t>
  </si>
  <si>
    <t>Climate Zone 6</t>
  </si>
  <si>
    <t>Climate Zone 7</t>
  </si>
  <si>
    <t>NR</t>
  </si>
  <si>
    <t>Climate Zone 8</t>
  </si>
  <si>
    <t xml:space="preserve">Using ASHRAE 90.1-2007 Table 5.5 (copied below), enter values for your Climate Zone and framing in the Baseline column. </t>
  </si>
  <si>
    <t>Climate Zone</t>
  </si>
  <si>
    <t>Construction Type</t>
  </si>
  <si>
    <t>Wood-frame</t>
  </si>
  <si>
    <t>Nonresidential Spaces (ie. commercial)</t>
  </si>
  <si>
    <t>Performance Path Calculator</t>
  </si>
  <si>
    <t>Basic Info</t>
  </si>
  <si>
    <t>Reporting Summary</t>
  </si>
  <si>
    <t>SIR by Measure</t>
  </si>
  <si>
    <t>LEED for Homes Mid-Rise Form</t>
  </si>
  <si>
    <t>Water Savings</t>
  </si>
  <si>
    <t>DHW Demand</t>
  </si>
  <si>
    <t>Lighting Schedule</t>
  </si>
  <si>
    <t>In-Unit Lighting</t>
  </si>
  <si>
    <t>Interior Lighting</t>
  </si>
  <si>
    <t>Exterior Lighting</t>
  </si>
  <si>
    <t>Infiltration&amp;Ventilation</t>
  </si>
  <si>
    <t>EIR for PTAC or PTHP</t>
  </si>
  <si>
    <t>Simulation Summary</t>
  </si>
  <si>
    <t>In blue cells only, enter the basic information about the building (number of units, square footage of the apartments and commercial spaces, type of garage (if applicable) and indicate the level of space conditioning in each zone). All other square footages will auto-fill after completion of the Interior Lighting worksheet.</t>
  </si>
  <si>
    <t>In blue cells only, enter general information about the project, the model and specifics about the ASHRAE compliant components of the Baseline Building and the energy efficient components in the Proposed Design.</t>
  </si>
  <si>
    <t>For projects pursuing LEED for Homes Mid-Rise certification, enter data in blue cells only. This form has been provided by the USGBC and can be used in submittals for that program.</t>
  </si>
  <si>
    <t>By entering data in blue cells only, this worksheet will calculate the water savings in gallons based on the proposed flow rates entered. This information does not affect the Performance Rating but can be used when calculating SIR to justify measures that reduce consumption of water.</t>
  </si>
  <si>
    <t>Enter in occupancy usage characteristic (low/medium/high) and information about the appliances that consume water in the building. You must enter data in the Basic Info and Water Savings tab, prior to this tab.</t>
  </si>
  <si>
    <t>Enter data in blue cells. Values are calculated in W/SF or kWh/yr for entry into software.</t>
  </si>
  <si>
    <t xml:space="preserve">Using floor plans, a lighting schedule, and lighting cut sheets, fill in the details of this worksheet. This will sum the square footages by ASHRAE space type for reporting purposes on the Basic Info tab, and calculate the lighting power density to be modeled per room. It also provides the maximum wattage allowed by ASHRAE 90.1 for that room, which can be more useful to the design team than the lighting power density. To help project compliance with program Prerequisites, zones are highlighted in red that exceed ASHRAE LPD’s by more than 20%, which reduce the energy savings of the building, as well as zones that have insufficient illumination. </t>
  </si>
  <si>
    <t>Enter details in blue cells only on exterior areas to be illuminated. The total wattage will be provided for input into the simulation software.</t>
  </si>
  <si>
    <t>Note that throughout these worksheets, common information from cells are linked and should automatically update.  Only cells shaded in blue need to be entered manually. Entering values into white or orange cells will override pre-determined formulas.</t>
  </si>
  <si>
    <t xml:space="preserve">The following worksheets detail the information regarding the recommended scope of work and document the achievement of the 15% Performance Target. Some cells are protected to prevent accidental over-writing of formulas. </t>
  </si>
  <si>
    <t>Use the SAME order as the parametric runs copied in the Results from eQuest worksheet.</t>
  </si>
  <si>
    <t>Copy runs corresponding to four orientation exposures from baseline Parms.csv to row 13-16 below. If not rotated, copy into row 13 only.</t>
  </si>
  <si>
    <t>First, fill out Basic Info and DHW Demand tabs.</t>
  </si>
  <si>
    <t>Copy run that corresponds to proposed design from proposed Parms.csv to row 19 below</t>
  </si>
  <si>
    <t>Baseline Design (copy runs corresponding to four exposures from &lt;project name&gt;-Parms.csv to row 13-16 below)</t>
  </si>
  <si>
    <t>Although not required by the EPA to earn the ENERGY STAR, if incremental costs are entered, this worksheet can be used to determine the cost effectiveness for each recommended measure and for the project as a whole.</t>
  </si>
  <si>
    <t>3. List NON-APARTMENT rooms in the building that have specified lighting by FLOOR. For typical floors, indicate the floor multiplier in Column H.</t>
  </si>
  <si>
    <t>4. List square footages for all NON-APARTMENT spaces in Column B (do not assign square footages to rows for Exit Signs or Exterior Lights).</t>
  </si>
  <si>
    <t>6. Use drop down menu to indicate the ASHRAE space type for calculating proposed LPD's.</t>
  </si>
  <si>
    <t>1. Fill in cells highlighted with this color, including the Watts/fixture and Lumens/fixture in Column J&amp;K.</t>
  </si>
  <si>
    <t>2. When available, provide manufacturer, model, whether ENERGY STAR qualified and indicate 24 hour operation.</t>
  </si>
  <si>
    <t>Completion Date (mo/yr):</t>
  </si>
  <si>
    <r>
      <t xml:space="preserve">Include all in-unit hard-wired lighting in this table. Rated wattage must include ballast (follow 90.1 User's manual or Appendix B of </t>
    </r>
    <r>
      <rPr>
        <i/>
        <sz val="10"/>
        <rFont val="Arial"/>
        <family val="2"/>
      </rPr>
      <t>Performance Path</t>
    </r>
    <r>
      <rPr>
        <sz val="10"/>
        <rFont val="Arial"/>
        <family val="2"/>
      </rPr>
      <t>).</t>
    </r>
  </si>
  <si>
    <r>
      <t xml:space="preserve">Per ASHRAE 9.1.4, screw-based fixtures must be entered using the maximum rated wattage of the </t>
    </r>
    <r>
      <rPr>
        <b/>
        <u val="single"/>
        <sz val="10"/>
        <rFont val="Arial"/>
        <family val="2"/>
      </rPr>
      <t>fixture</t>
    </r>
    <r>
      <rPr>
        <sz val="10"/>
        <rFont val="Arial"/>
        <family val="2"/>
      </rPr>
      <t>, even if a screw-based CFL or LED is installed. As this requirement is waived for this program, screw-base fixtures may be entered using the installed lamp and ballast wattage or the maximum rated wattage of the fixture.</t>
    </r>
  </si>
  <si>
    <t>Windows eQUEST</t>
  </si>
  <si>
    <t>Results from eQUEST</t>
  </si>
  <si>
    <t>This worksheet requires you to enter the fuel prices in order to calculate the overall energy cost savings, which are required to demonstrate achievement of the Performance Target.  This tab links to the Results eQUEST tab and is based on natural gas or electric heat. To use oil, modifications to this tab would be needed.</t>
  </si>
  <si>
    <t>Although developed initially for eQUEST users, the approach can be used for other simulation software if the energy efficiency of these systems are entered in terms of EIR, rather than EER.</t>
  </si>
  <si>
    <t>Although developed initially for eQUEST users, the approach can be used for other simulation software if needed. The approach allows for infiltration and exhaust in apartments to be combined in the worksheet and a combined value to be entered into the software.</t>
  </si>
  <si>
    <t>For eQUEST users only, this calculates the Shading Coefficient for entry into eQUEST and modifies the NFRC U-factor to exclude the air-film.</t>
  </si>
  <si>
    <t>Developed for eQUEST users, but can be used with other software to translate total operating hours/day into an hourly schedule that meets the requirements from the Simulation Guidelines.</t>
  </si>
  <si>
    <t xml:space="preserve">For eQUEST users only, this worksheet is based upon the Parms.csv file that is generated upon simulation of your building. If those results are pasted into this worksheet, according to the directions, the performance rating will automatically calculate in the Simulation Summary worksheet. </t>
  </si>
  <si>
    <t>Data to be entered in eQUEST as Equipment or Internal Energy Sources.</t>
  </si>
  <si>
    <t>In eQUEST, exit Signs can be added as Lighting #2 (kW) in the appropriate zones.</t>
  </si>
  <si>
    <t>Low/medium/high usage (see Simulation Guidelines, 3.9.2)</t>
  </si>
  <si>
    <t>Use calculated values as inputs into eQUEST Glass Type Properties - Basic Specifications screen.</t>
  </si>
  <si>
    <t>eQUEST SC</t>
  </si>
  <si>
    <t>eQUEST U-value</t>
  </si>
  <si>
    <t>In eQUEST, exterior lighting should be entered in the "Utility &amp; Economics" section, under Electric Meter as a Direct Exterior Load, with Ambient Lighting enduse and a 12 hr/day schedule.</t>
  </si>
  <si>
    <t>Open Parms.csv file that corresponds to baseline and proposed eQUEST models.</t>
  </si>
  <si>
    <t>First fill in the Basic Info worksheet and copy results into Result Summary eQUEST worksheet.</t>
  </si>
  <si>
    <t>Baseline and Proposed design fuel usage is copied from the corresponding rows in Result Summary eQUEST worksheet.</t>
  </si>
  <si>
    <t>Enter details and counts of installed lighting fixtures in apartments only. Square footage not illuminated by these fixtures will have a default lighting power density of 1.1 W/Sf assigned to both baseline and proposed. Installed fixtures in rooms where supplemental light will be provided by the occupant or through switched outlets, shall not be modeled as providing illumination for the entire room. Overall lighting power density is calculated on this worksheet for input into software.</t>
  </si>
  <si>
    <t>1.1 W/SF</t>
  </si>
  <si>
    <t>Minimum CFM required:</t>
  </si>
  <si>
    <t>Maximum CFM allowed in Baseline:</t>
  </si>
  <si>
    <t>Proposed CFM:</t>
  </si>
  <si>
    <t>In the simulation software, rather than model Outside Air and Exhaust for Apartments separately, you may combine and model as "Infiltration".</t>
  </si>
  <si>
    <t>You may model Exhaust for refuse rooms and laundry rooms as equivalent "Infiltration" as well.</t>
  </si>
  <si>
    <t>In eQUEST, electricity for exhaust fans should be modeled as Direct-Interior or Exterior Loads in Electric Meter, with Ventilation Fans enduse.</t>
  </si>
  <si>
    <t>INTERMITTENT OR CONTINUOUS?:</t>
  </si>
  <si>
    <t>Intermittent</t>
  </si>
  <si>
    <t>Continuous</t>
  </si>
  <si>
    <t>Ventilation Duct Leakage (Baseline add 10 CFM/floor per shaft)</t>
  </si>
  <si>
    <t>Local Exhaust (62.2-2007):</t>
  </si>
  <si>
    <t>MAXIMUM CONTINUOUS LOCAL BASELINE EXHAUST:</t>
  </si>
  <si>
    <t>MAXIMUM INTERMITTENT LOCAL BASELINE EXHAUST:</t>
  </si>
  <si>
    <t>MINIMUM CONTINUOUS LOCAL BASELINE EXHAUST:</t>
  </si>
  <si>
    <t>MINIMUM INTERMITTENT LOCAL BASELINE EXHAUST:</t>
  </si>
  <si>
    <t>PROPOSED LOCAL EXHAUST VENTILATION:</t>
  </si>
  <si>
    <t>CFM is the minimum allowed in the baseline if both fans run continuously or both fans run intermittently.</t>
  </si>
  <si>
    <t>CFM is the maximum allowed in the baseline if both fans run continuously or both fans run intermittently.</t>
  </si>
  <si>
    <t>&lt;&lt; These values are determined once you have entered your proposed CFM.</t>
  </si>
  <si>
    <t>&lt;&lt; These values are updated once you have entered your average area.</t>
  </si>
  <si>
    <t>minutes/hour</t>
  </si>
  <si>
    <t>Convert Intermittent Ventilation to equivalent Continuous:</t>
  </si>
  <si>
    <t>Combine Different Ventilation to equivalent Continuous:</t>
  </si>
  <si>
    <t>Quantity of Fans</t>
  </si>
  <si>
    <t>CFM is the equivalent continuous ventilation rate.</t>
  </si>
  <si>
    <t>CFM is the equivalent continuous ventilation rate for all fans combined.</t>
  </si>
  <si>
    <t>Electricity, kWh</t>
  </si>
  <si>
    <t>Fossil Fuel, therms</t>
  </si>
  <si>
    <t>Utility Bill Comparison</t>
  </si>
  <si>
    <t># kitchens</t>
  </si>
  <si>
    <t># lavatories (that require exhaust)</t>
  </si>
  <si>
    <t>ENERGY STAR Multifamily High Rise
Reporting Summary, Version 1.0</t>
  </si>
  <si>
    <t>Total Square Footage</t>
  </si>
  <si>
    <t>Lighting (W/sf)</t>
  </si>
  <si>
    <t>If you need more rows, insert below this row &gt;&gt;</t>
  </si>
  <si>
    <t>Inline or Range Hood</t>
  </si>
  <si>
    <t>Version 1.1</t>
  </si>
  <si>
    <t>WWR</t>
  </si>
  <si>
    <t xml:space="preserve">10.Red cells indicate ZONES where proposed lighting exceed ASHRAE LPD by more than 20%. </t>
  </si>
  <si>
    <t>Rooftop/Other</t>
  </si>
  <si>
    <t>Central DHW</t>
  </si>
  <si>
    <t>Volume</t>
  </si>
  <si>
    <t>In-Unit Water Heater</t>
  </si>
  <si>
    <t>HIR/EIR</t>
  </si>
  <si>
    <t>% EFF</t>
  </si>
  <si>
    <t>Sensors</t>
  </si>
  <si>
    <t>11.ZONES can exceed LPDs by more than 20%, but the TOTAL proposed wattage cannot exceed the TOTAL wattage in the baseline by more than 20%.</t>
  </si>
  <si>
    <t>EIR or 1/COP (COOLING)</t>
  </si>
  <si>
    <t>EIR or 1/COP (HEATING)</t>
  </si>
  <si>
    <t>COP (HEATING)</t>
  </si>
  <si>
    <t>Cooling EER</t>
  </si>
  <si>
    <t>Net Heating Capacity, Btu/Hr</t>
  </si>
  <si>
    <t>Showerhead gpm (@ 80 psi)</t>
  </si>
  <si>
    <t>Avg Faucet gpm (@ 80 psi)</t>
  </si>
  <si>
    <t>Showerheads (@80 psi)</t>
  </si>
  <si>
    <t>Bathroom Faucets (@80 psi)</t>
  </si>
  <si>
    <t>Kitchen Faucets (@80 psi)</t>
  </si>
  <si>
    <t>Select calculation method:</t>
  </si>
  <si>
    <t>Building Area (9.5.1)</t>
  </si>
  <si>
    <t>Space-By-Space (9.6.1)</t>
  </si>
  <si>
    <t>% Savings
toward Target</t>
  </si>
  <si>
    <t>% Savings
by end-use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</si>
</sst>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
    <numFmt numFmtId="167" formatCode="#,##0.0"/>
    <numFmt numFmtId="168" formatCode="0.000"/>
    <numFmt numFmtId="169" formatCode="&quot;$&quot;#,##0"/>
    <numFmt numFmtId="170" formatCode="_(* #,##0_);_(* \(#,##0\);_(* &quot;-&quot;??_);_(@_)"/>
    <numFmt numFmtId="171" formatCode="_(* #,##0.0_);_(* \(#,##0.0\);_(* &quot;-&quot;??_);_(@_)"/>
    <numFmt numFmtId="172" formatCode="_(* #,##0.000_);_(* \(#,##0.000\);_(* &quot;-&quot;??_);_(@_)"/>
    <numFmt numFmtId="173" formatCode="_(* #,##0.0000_);_(* \(#,##0.0000\);_(* &quot;-&quot;??_);_(@_)"/>
    <numFmt numFmtId="174" formatCode="_(* #,##0.000_);_(* \(#,##0.000\);_(* &quot;-&quot;???_);_(@_)"/>
    <numFmt numFmtId="175" formatCode="m/d/yy;@"/>
    <numFmt numFmtId="176" formatCode="[$-409]mmmm\-yy;@"/>
    <numFmt numFmtId="177" formatCode="0.000000"/>
    <numFmt numFmtId="178" formatCode="0.00000"/>
    <numFmt numFmtId="179" formatCode="0.0000"/>
    <numFmt numFmtId="180" formatCode="&quot;Yes&quot;;&quot;Yes&quot;;&quot;No&quot;"/>
    <numFmt numFmtId="181" formatCode="&quot;True&quot;;&quot;True&quot;;&quot;False&quot;"/>
    <numFmt numFmtId="182" formatCode="&quot;On&quot;;&quot;On&quot;;&quot;Off&quot;"/>
    <numFmt numFmtId="183" formatCode="[$€-2]\ #,##0.00_);[Red]\([$€-2]\ #,##0.00\)"/>
    <numFmt numFmtId="184" formatCode="[$-409]dddd\,\ mmmm\ dd\,\ yyyy"/>
    <numFmt numFmtId="185" formatCode="[$-409]h:mm:ss\ AM/PM"/>
  </numFmts>
  <fonts count="70">
    <font>
      <sz val="10"/>
      <name val="Arial"/>
      <family val="0"/>
    </font>
    <font>
      <sz val="11"/>
      <color indexed="8"/>
      <name val="Calibri"/>
      <family val="2"/>
    </font>
    <font>
      <sz val="10"/>
      <name val="Times New Roman"/>
      <family val="1"/>
    </font>
    <font>
      <sz val="12"/>
      <name val="Times New Roman"/>
      <family val="1"/>
    </font>
    <font>
      <b/>
      <sz val="12"/>
      <name val="Times New Roman"/>
      <family val="1"/>
    </font>
    <font>
      <sz val="8"/>
      <name val="Arial"/>
      <family val="2"/>
    </font>
    <font>
      <sz val="10"/>
      <color indexed="10"/>
      <name val="Times New Roman"/>
      <family val="1"/>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2"/>
      <name val="Arial"/>
      <family val="2"/>
    </font>
    <font>
      <b/>
      <sz val="14"/>
      <name val="Arial"/>
      <family val="2"/>
    </font>
    <font>
      <b/>
      <sz val="10"/>
      <name val="Arial"/>
      <family val="2"/>
    </font>
    <font>
      <b/>
      <i/>
      <sz val="10"/>
      <name val="Arial"/>
      <family val="2"/>
    </font>
    <font>
      <i/>
      <sz val="10"/>
      <name val="Arial"/>
      <family val="2"/>
    </font>
    <font>
      <b/>
      <i/>
      <u val="single"/>
      <sz val="10"/>
      <name val="Arial"/>
      <family val="2"/>
    </font>
    <font>
      <b/>
      <sz val="12"/>
      <name val="Arial"/>
      <family val="2"/>
    </font>
    <font>
      <b/>
      <sz val="10"/>
      <color indexed="10"/>
      <name val="Arial"/>
      <family val="2"/>
    </font>
    <font>
      <i/>
      <u val="single"/>
      <sz val="10"/>
      <name val="Arial"/>
      <family val="2"/>
    </font>
    <font>
      <b/>
      <i/>
      <u val="single"/>
      <sz val="12"/>
      <name val="Arial"/>
      <family val="2"/>
    </font>
    <font>
      <b/>
      <u val="single"/>
      <sz val="10"/>
      <name val="Arial"/>
      <family val="2"/>
    </font>
    <font>
      <sz val="10"/>
      <color indexed="22"/>
      <name val="Arial"/>
      <family val="2"/>
    </font>
    <font>
      <sz val="9"/>
      <name val="Arial"/>
      <family val="2"/>
    </font>
    <font>
      <sz val="11"/>
      <color indexed="9"/>
      <name val="Calibri"/>
      <family val="2"/>
    </font>
    <font>
      <b/>
      <sz val="11"/>
      <color indexed="8"/>
      <name val="Calibri"/>
      <family val="2"/>
    </font>
    <font>
      <sz val="11"/>
      <color indexed="10"/>
      <name val="Calibri"/>
      <family val="2"/>
    </font>
    <font>
      <sz val="12"/>
      <color indexed="8"/>
      <name val="Times New Roman"/>
      <family val="1"/>
    </font>
    <font>
      <b/>
      <sz val="11"/>
      <color indexed="8"/>
      <name val="Times New Roman"/>
      <family val="1"/>
    </font>
    <font>
      <sz val="11"/>
      <color indexed="8"/>
      <name val="Times New Roman"/>
      <family val="1"/>
    </font>
    <font>
      <b/>
      <u val="single"/>
      <sz val="11"/>
      <color indexed="8"/>
      <name val="Calibri"/>
      <family val="2"/>
    </font>
    <font>
      <b/>
      <sz val="11"/>
      <name val="Times New Roman"/>
      <family val="1"/>
    </font>
    <font>
      <b/>
      <sz val="10"/>
      <color indexed="22"/>
      <name val="Arial"/>
      <family val="2"/>
    </font>
    <font>
      <b/>
      <sz val="16"/>
      <name val="Times New Roman"/>
      <family val="1"/>
    </font>
    <font>
      <b/>
      <sz val="10"/>
      <name val="Times New Roman"/>
      <family val="1"/>
    </font>
    <font>
      <vertAlign val="superscript"/>
      <sz val="10"/>
      <name val="Arial"/>
      <family val="2"/>
    </font>
    <font>
      <vertAlign val="superscript"/>
      <sz val="9"/>
      <name val="Arial"/>
      <family val="2"/>
    </font>
    <font>
      <sz val="11"/>
      <color indexed="8"/>
      <name val="Arial"/>
      <family val="2"/>
    </font>
    <font>
      <sz val="9"/>
      <color indexed="8"/>
      <name val="Arial"/>
      <family val="2"/>
    </font>
    <font>
      <sz val="10"/>
      <color indexed="8"/>
      <name val="Calibri"/>
      <family val="2"/>
    </font>
    <font>
      <b/>
      <sz val="16"/>
      <name val="Arial"/>
      <family val="2"/>
    </font>
    <font>
      <b/>
      <i/>
      <sz val="12"/>
      <name val="Arial"/>
      <family val="2"/>
    </font>
    <font>
      <b/>
      <i/>
      <sz val="11"/>
      <name val="Arial"/>
      <family val="2"/>
    </font>
    <font>
      <b/>
      <sz val="12"/>
      <color indexed="9"/>
      <name val="Arial"/>
      <family val="2"/>
    </font>
    <font>
      <sz val="8"/>
      <name val="Tahoma"/>
      <family val="2"/>
    </font>
    <font>
      <b/>
      <sz val="8"/>
      <name val="Tahoma"/>
      <family val="2"/>
    </font>
    <font>
      <b/>
      <sz val="12"/>
      <color indexed="10"/>
      <name val="Times New Roman"/>
      <family val="1"/>
    </font>
    <font>
      <b/>
      <u val="single"/>
      <sz val="16"/>
      <name val="Times New Roman"/>
      <family val="1"/>
    </font>
    <font>
      <u val="single"/>
      <sz val="12"/>
      <name val="Times New Roman"/>
      <family val="1"/>
    </font>
    <font>
      <sz val="12"/>
      <color indexed="10"/>
      <name val="Times New Roman"/>
      <family val="1"/>
    </font>
    <font>
      <u val="single"/>
      <sz val="10"/>
      <name val="Arial"/>
      <family val="2"/>
    </font>
    <font>
      <u val="single"/>
      <sz val="10"/>
      <color indexed="20"/>
      <name val="Arial"/>
      <family val="2"/>
    </font>
    <font>
      <u val="single"/>
      <sz val="10"/>
      <color theme="11"/>
      <name val="Arial"/>
      <family val="2"/>
    </font>
    <font>
      <sz val="10"/>
      <color rgb="FFFF0000"/>
      <name val="Arial"/>
      <family val="2"/>
    </font>
    <font>
      <sz val="10"/>
      <color theme="0"/>
      <name val="Arial"/>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8"/>
        <bgColor indexed="64"/>
      </patternFill>
    </fill>
    <fill>
      <patternFill patternType="solid">
        <fgColor indexed="23"/>
        <bgColor indexed="64"/>
      </patternFill>
    </fill>
    <fill>
      <patternFill patternType="solid">
        <fgColor indexed="9"/>
        <bgColor indexed="64"/>
      </patternFill>
    </fill>
    <fill>
      <patternFill patternType="darkDown">
        <bgColor indexed="22"/>
      </patternFill>
    </fill>
    <fill>
      <patternFill patternType="solid">
        <fgColor rgb="FFCCFFFF"/>
        <bgColor indexed="64"/>
      </patternFill>
    </fill>
    <fill>
      <patternFill patternType="solid">
        <fgColor rgb="FFFF0000"/>
        <bgColor indexed="64"/>
      </patternFill>
    </fill>
    <fill>
      <patternFill patternType="solid">
        <fgColor indexed="48"/>
        <bgColor indexed="64"/>
      </patternFill>
    </fill>
  </fills>
  <borders count="1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bottom style="thin"/>
    </border>
    <border>
      <left style="thin"/>
      <right style="thin"/>
      <top style="thin"/>
      <bottom style="thin"/>
    </border>
    <border>
      <left style="thin"/>
      <right style="thin"/>
      <top style="thin"/>
      <bottom style="medium"/>
    </border>
    <border>
      <left style="thin">
        <color indexed="8"/>
      </left>
      <right style="thin">
        <color indexed="8"/>
      </right>
      <top/>
      <bottom style="thin">
        <color indexed="8"/>
      </bottom>
    </border>
    <border>
      <left style="thin">
        <color indexed="8"/>
      </left>
      <right style="thin">
        <color indexed="8"/>
      </right>
      <top/>
      <bottom/>
    </border>
    <border>
      <left style="thin">
        <color indexed="8"/>
      </left>
      <right style="medium"/>
      <top/>
      <bottom style="thin">
        <color indexed="8"/>
      </bottom>
    </border>
    <border>
      <left style="thin"/>
      <right style="medium"/>
      <top style="thin"/>
      <bottom style="double"/>
    </border>
    <border>
      <left style="thin">
        <color indexed="8"/>
      </left>
      <right style="medium"/>
      <top style="thin">
        <color indexed="8"/>
      </top>
      <bottom/>
    </border>
    <border>
      <left style="thin"/>
      <right style="thin"/>
      <top style="thin"/>
      <bottom style="double"/>
    </border>
    <border>
      <left style="medium"/>
      <right/>
      <top style="medium"/>
      <bottom style="medium"/>
    </border>
    <border>
      <left/>
      <right/>
      <top/>
      <bottom style="medium"/>
    </border>
    <border>
      <left style="medium"/>
      <right style="medium"/>
      <top style="medium"/>
      <bottom style="medium"/>
    </border>
    <border>
      <left style="medium"/>
      <right style="medium"/>
      <top/>
      <bottom/>
    </border>
    <border>
      <left style="medium"/>
      <right style="medium"/>
      <top/>
      <bottom style="medium"/>
    </border>
    <border>
      <left style="medium">
        <color indexed="8"/>
      </left>
      <right style="medium"/>
      <top style="medium">
        <color indexed="8"/>
      </top>
      <bottom style="medium">
        <color indexed="8"/>
      </bottom>
    </border>
    <border>
      <left style="medium"/>
      <right style="medium"/>
      <top style="medium">
        <color indexed="8"/>
      </top>
      <bottom style="medium">
        <color indexed="8"/>
      </bottom>
    </border>
    <border>
      <left style="medium"/>
      <right style="medium"/>
      <top style="medium"/>
      <bottom/>
    </border>
    <border>
      <left/>
      <right style="thin"/>
      <top/>
      <bottom/>
    </border>
    <border>
      <left style="thick"/>
      <right/>
      <top/>
      <bottom/>
    </border>
    <border>
      <left/>
      <right/>
      <top style="thin"/>
      <bottom style="medium"/>
    </border>
    <border>
      <left/>
      <right style="medium"/>
      <top/>
      <bottom/>
    </border>
    <border>
      <left style="thick"/>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right style="medium"/>
      <top style="medium"/>
      <bottom/>
    </border>
    <border>
      <left style="thin"/>
      <right style="medium"/>
      <top style="medium"/>
      <bottom/>
    </border>
    <border>
      <left style="thin"/>
      <right style="medium"/>
      <top/>
      <bottom/>
    </border>
    <border>
      <left style="thin"/>
      <right style="medium"/>
      <top/>
      <bottom style="medium"/>
    </border>
    <border>
      <left style="thin"/>
      <right style="thin"/>
      <top style="medium"/>
      <bottom style="thin"/>
    </border>
    <border>
      <left style="thin"/>
      <right style="thin"/>
      <top/>
      <bottom/>
    </border>
    <border>
      <left style="thin"/>
      <right/>
      <top/>
      <bottom/>
    </border>
    <border>
      <left style="thin"/>
      <right style="thin"/>
      <top style="thin"/>
      <bottom/>
    </border>
    <border>
      <left style="medium"/>
      <right/>
      <top/>
      <bottom/>
    </border>
    <border>
      <left style="thin"/>
      <right style="thin"/>
      <top/>
      <bottom style="medium"/>
    </border>
    <border>
      <left style="medium"/>
      <right/>
      <top style="medium"/>
      <bottom style="thin"/>
    </border>
    <border>
      <left/>
      <right style="thin"/>
      <top style="medium"/>
      <bottom style="thin"/>
    </border>
    <border>
      <left/>
      <right style="thin"/>
      <top/>
      <bottom style="thin"/>
    </border>
    <border>
      <left/>
      <right/>
      <top style="medium"/>
      <bottom/>
    </border>
    <border>
      <left style="medium"/>
      <right style="thin"/>
      <top style="medium"/>
      <bottom style="medium"/>
    </border>
    <border>
      <left style="medium"/>
      <right/>
      <top style="medium"/>
      <bottom/>
    </border>
    <border>
      <left style="thin">
        <color indexed="8"/>
      </left>
      <right/>
      <top style="medium"/>
      <bottom style="thin"/>
    </border>
    <border>
      <left/>
      <right/>
      <top style="medium"/>
      <bottom style="thin"/>
    </border>
    <border>
      <left style="medium"/>
      <right style="thin">
        <color indexed="8"/>
      </right>
      <top style="thin"/>
      <bottom/>
    </border>
    <border>
      <left style="thin">
        <color indexed="8"/>
      </left>
      <right style="thin">
        <color indexed="8"/>
      </right>
      <top style="thin"/>
      <bottom/>
    </border>
    <border>
      <left/>
      <right style="thin"/>
      <top style="thin"/>
      <bottom/>
    </border>
    <border>
      <left style="thin"/>
      <right/>
      <top/>
      <bottom style="thin"/>
    </border>
    <border>
      <left style="medium"/>
      <right/>
      <top/>
      <bottom style="double"/>
    </border>
    <border>
      <left style="thin">
        <color indexed="8"/>
      </left>
      <right/>
      <top/>
      <bottom style="double"/>
    </border>
    <border>
      <left style="thin">
        <color indexed="8"/>
      </left>
      <right style="thin">
        <color indexed="8"/>
      </right>
      <top/>
      <bottom style="double"/>
    </border>
    <border>
      <left style="thin">
        <color indexed="8"/>
      </left>
      <right style="thin"/>
      <top/>
      <bottom style="double"/>
    </border>
    <border>
      <left style="thin">
        <color indexed="8"/>
      </left>
      <right style="medium"/>
      <top/>
      <bottom style="double">
        <color indexed="8"/>
      </bottom>
    </border>
    <border>
      <left/>
      <right/>
      <top/>
      <bottom style="double"/>
    </border>
    <border>
      <left/>
      <right style="thin">
        <color indexed="8"/>
      </right>
      <top/>
      <bottom style="double"/>
    </border>
    <border>
      <left/>
      <right style="thin"/>
      <top/>
      <bottom style="double"/>
    </border>
    <border>
      <left/>
      <right/>
      <top style="thin"/>
      <bottom style="double"/>
    </border>
    <border>
      <left style="medium"/>
      <right style="thin"/>
      <top/>
      <bottom style="thin">
        <color indexed="8"/>
      </bottom>
    </border>
    <border>
      <left style="thin">
        <color indexed="8"/>
      </left>
      <right style="thin"/>
      <top/>
      <bottom style="thin">
        <color indexed="8"/>
      </bottom>
    </border>
    <border>
      <left/>
      <right style="thin">
        <color indexed="8"/>
      </right>
      <top/>
      <bottom style="thin">
        <color indexed="8"/>
      </bottom>
    </border>
    <border>
      <left style="thin">
        <color indexed="8"/>
      </left>
      <right/>
      <top style="double"/>
      <bottom/>
    </border>
    <border>
      <left style="thin">
        <color indexed="8"/>
      </left>
      <right style="thin"/>
      <top style="thin"/>
      <bottom/>
    </border>
    <border>
      <left style="thin">
        <color indexed="8"/>
      </left>
      <right style="thin"/>
      <top style="thin"/>
      <bottom style="thin"/>
    </border>
    <border>
      <left/>
      <right style="thin"/>
      <top/>
      <bottom style="thin">
        <color indexed="8"/>
      </botto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thin"/>
      <top style="thin"/>
      <bottom style="double"/>
    </border>
    <border>
      <left style="medium"/>
      <right/>
      <top style="double"/>
      <bottom style="double"/>
    </border>
    <border>
      <left/>
      <right/>
      <top style="double"/>
      <bottom style="double"/>
    </border>
    <border>
      <left style="thin"/>
      <right style="thin"/>
      <top style="double"/>
      <bottom style="double"/>
    </border>
    <border>
      <left style="medium"/>
      <right style="medium"/>
      <top style="double"/>
      <bottom/>
    </border>
    <border>
      <left style="medium"/>
      <right style="medium"/>
      <top style="thin"/>
      <bottom style="thin"/>
    </border>
    <border>
      <left/>
      <right style="medium"/>
      <top style="thin"/>
      <bottom style="thin"/>
    </border>
    <border>
      <left/>
      <right/>
      <top style="thin"/>
      <bottom style="thin"/>
    </border>
    <border>
      <left/>
      <right style="medium"/>
      <top style="medium"/>
      <bottom style="thin"/>
    </border>
    <border>
      <left/>
      <right style="thin"/>
      <top style="medium"/>
      <bottom/>
    </border>
    <border>
      <left style="thin"/>
      <right/>
      <top style="medium"/>
      <bottom style="thin"/>
    </border>
    <border>
      <left style="thin"/>
      <right/>
      <top style="thin"/>
      <bottom/>
    </border>
    <border>
      <left style="thin"/>
      <right/>
      <top/>
      <bottom style="medium"/>
    </border>
    <border>
      <left style="thin"/>
      <right style="medium"/>
      <top style="thin"/>
      <bottom/>
    </border>
    <border>
      <left style="thin"/>
      <right/>
      <top style="thin"/>
      <bottom style="thin"/>
    </border>
    <border>
      <left/>
      <right/>
      <top/>
      <bottom style="thin"/>
    </border>
    <border>
      <left/>
      <right style="thin"/>
      <top style="thin"/>
      <bottom style="thin"/>
    </border>
    <border>
      <left/>
      <right/>
      <top style="thin"/>
      <bottom/>
    </border>
    <border>
      <left style="medium"/>
      <right style="thin"/>
      <top style="medium"/>
      <bottom/>
    </border>
    <border>
      <left style="thin"/>
      <right/>
      <top style="medium"/>
      <bottom style="medium"/>
    </border>
    <border>
      <left/>
      <right style="medium"/>
      <top style="thin"/>
      <bottom/>
    </border>
    <border>
      <left style="medium"/>
      <right style="thin">
        <color indexed="8"/>
      </right>
      <top style="medium"/>
      <bottom style="thin">
        <color indexed="8"/>
      </bottom>
    </border>
    <border>
      <left style="thin">
        <color indexed="8"/>
      </left>
      <right style="medium"/>
      <top style="medium"/>
      <bottom/>
    </border>
    <border>
      <left/>
      <right style="medium"/>
      <top style="thin">
        <color indexed="8"/>
      </top>
      <bottom/>
    </border>
    <border>
      <left style="medium"/>
      <right/>
      <top/>
      <bottom style="thin"/>
    </border>
    <border>
      <left/>
      <right style="medium"/>
      <top/>
      <bottom style="thin"/>
    </border>
    <border>
      <left style="thick"/>
      <right/>
      <top style="thick"/>
      <bottom/>
    </border>
    <border>
      <left/>
      <right/>
      <top style="thick"/>
      <bottom/>
    </border>
    <border>
      <left/>
      <right style="medium"/>
      <top style="thick"/>
      <bottom/>
    </border>
    <border>
      <left style="thick"/>
      <right/>
      <top/>
      <bottom style="thin"/>
    </border>
    <border>
      <left style="medium"/>
      <right/>
      <top style="thin"/>
      <bottom style="thin"/>
    </border>
    <border>
      <left/>
      <right style="thin"/>
      <top/>
      <bottom style="medium"/>
    </border>
    <border>
      <left style="medium"/>
      <right/>
      <top style="thin"/>
      <bottom/>
    </border>
    <border>
      <left style="thin"/>
      <right style="medium"/>
      <top/>
      <bottom style="double"/>
    </border>
    <border>
      <left/>
      <right style="thin">
        <color indexed="8"/>
      </right>
      <top style="thin"/>
      <bottom/>
    </border>
    <border>
      <left style="thin"/>
      <right style="thin"/>
      <top style="medium"/>
      <bottom/>
    </border>
    <border>
      <left style="thin"/>
      <right style="thin"/>
      <top/>
      <bottom style="double"/>
    </border>
    <border>
      <left style="thin"/>
      <right/>
      <top style="medium"/>
      <bottom/>
    </border>
    <border>
      <left style="thin"/>
      <right style="medium"/>
      <top style="medium"/>
      <bottom style="medium"/>
    </border>
    <border>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3" fillId="0" borderId="0" applyNumberFormat="0" applyFill="0" applyBorder="0" applyAlignment="0" applyProtection="0"/>
    <xf numFmtId="0" fontId="66"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7" fillId="0" borderId="0" applyNumberFormat="0" applyFill="0" applyBorder="0" applyAlignment="0" applyProtection="0"/>
  </cellStyleXfs>
  <cellXfs count="1302">
    <xf numFmtId="0" fontId="0" fillId="0" borderId="0" xfId="0" applyAlignment="1">
      <alignment/>
    </xf>
    <xf numFmtId="0" fontId="0" fillId="0" borderId="0" xfId="0" applyFill="1" applyAlignment="1">
      <alignment/>
    </xf>
    <xf numFmtId="0" fontId="27" fillId="0" borderId="0" xfId="0" applyFont="1" applyAlignment="1">
      <alignment/>
    </xf>
    <xf numFmtId="0" fontId="0" fillId="7" borderId="0" xfId="0" applyFill="1" applyAlignment="1">
      <alignment/>
    </xf>
    <xf numFmtId="0" fontId="0" fillId="0" borderId="0" xfId="0" applyAlignment="1">
      <alignment horizontal="right"/>
    </xf>
    <xf numFmtId="0" fontId="0" fillId="0" borderId="0" xfId="0" applyBorder="1" applyAlignment="1">
      <alignment/>
    </xf>
    <xf numFmtId="0" fontId="0" fillId="0" borderId="0" xfId="0" applyAlignment="1">
      <alignment horizontal="center"/>
    </xf>
    <xf numFmtId="0" fontId="1" fillId="0" borderId="0" xfId="63">
      <alignment/>
      <protection/>
    </xf>
    <xf numFmtId="0" fontId="39" fillId="22" borderId="10" xfId="63" applyFont="1" applyFill="1" applyBorder="1" applyAlignment="1">
      <alignment horizontal="center"/>
      <protection/>
    </xf>
    <xf numFmtId="0" fontId="39" fillId="22" borderId="11" xfId="63" applyFont="1" applyFill="1" applyBorder="1" applyAlignment="1">
      <alignment horizontal="center"/>
      <protection/>
    </xf>
    <xf numFmtId="0" fontId="1" fillId="22" borderId="12" xfId="63" applyFill="1" applyBorder="1" applyAlignment="1">
      <alignment horizontal="left"/>
      <protection/>
    </xf>
    <xf numFmtId="166" fontId="1" fillId="22" borderId="13" xfId="63" applyNumberFormat="1" applyFill="1" applyBorder="1" applyAlignment="1">
      <alignment horizontal="center"/>
      <protection/>
    </xf>
    <xf numFmtId="0" fontId="1" fillId="22" borderId="14" xfId="63" applyFill="1" applyBorder="1" applyAlignment="1">
      <alignment horizontal="left"/>
      <protection/>
    </xf>
    <xf numFmtId="166" fontId="1" fillId="22" borderId="15" xfId="63" applyNumberFormat="1" applyFill="1" applyBorder="1" applyAlignment="1">
      <alignment horizontal="center"/>
      <protection/>
    </xf>
    <xf numFmtId="0" fontId="39" fillId="22" borderId="16" xfId="63" applyFont="1" applyFill="1" applyBorder="1" applyAlignment="1">
      <alignment horizontal="center"/>
      <protection/>
    </xf>
    <xf numFmtId="0" fontId="1" fillId="22" borderId="12" xfId="63" applyFont="1" applyFill="1" applyBorder="1" applyAlignment="1">
      <alignment horizontal="left"/>
      <protection/>
    </xf>
    <xf numFmtId="0" fontId="1" fillId="22" borderId="17" xfId="63" applyFill="1" applyBorder="1" applyAlignment="1">
      <alignment horizontal="center"/>
      <protection/>
    </xf>
    <xf numFmtId="0" fontId="1" fillId="22" borderId="13" xfId="63" applyFont="1" applyFill="1" applyBorder="1" applyAlignment="1">
      <alignment horizontal="center"/>
      <protection/>
    </xf>
    <xf numFmtId="0" fontId="1" fillId="22" borderId="12" xfId="63" applyFill="1" applyBorder="1">
      <alignment/>
      <protection/>
    </xf>
    <xf numFmtId="0" fontId="1" fillId="22" borderId="13" xfId="63" applyFill="1" applyBorder="1" applyAlignment="1">
      <alignment horizontal="center"/>
      <protection/>
    </xf>
    <xf numFmtId="0" fontId="1" fillId="22" borderId="14" xfId="63" applyFont="1" applyFill="1" applyBorder="1" applyAlignment="1">
      <alignment horizontal="left"/>
      <protection/>
    </xf>
    <xf numFmtId="0" fontId="1" fillId="22" borderId="18" xfId="63" applyFill="1" applyBorder="1" applyAlignment="1">
      <alignment horizontal="center"/>
      <protection/>
    </xf>
    <xf numFmtId="0" fontId="1" fillId="22" borderId="15" xfId="63" applyFont="1" applyFill="1" applyBorder="1" applyAlignment="1">
      <alignment horizontal="center"/>
      <protection/>
    </xf>
    <xf numFmtId="0" fontId="0" fillId="24" borderId="0" xfId="0" applyFill="1" applyAlignment="1">
      <alignment/>
    </xf>
    <xf numFmtId="0" fontId="8" fillId="0" borderId="0" xfId="62" applyFont="1">
      <alignment/>
      <protection/>
    </xf>
    <xf numFmtId="0" fontId="1" fillId="0" borderId="0" xfId="62">
      <alignment/>
      <protection/>
    </xf>
    <xf numFmtId="0" fontId="8" fillId="0" borderId="0" xfId="62" applyFont="1" applyFill="1">
      <alignment/>
      <protection/>
    </xf>
    <xf numFmtId="0" fontId="0" fillId="0" borderId="0" xfId="0" applyFont="1" applyAlignment="1">
      <alignment horizontal="left"/>
    </xf>
    <xf numFmtId="0" fontId="0" fillId="0" borderId="0" xfId="0" applyFont="1" applyAlignment="1">
      <alignment horizontal="center"/>
    </xf>
    <xf numFmtId="0" fontId="1" fillId="0" borderId="0" xfId="62" applyFill="1">
      <alignment/>
      <protection/>
    </xf>
    <xf numFmtId="0" fontId="39" fillId="0" borderId="0" xfId="62" applyFont="1" applyFill="1" applyAlignment="1">
      <alignment horizontal="center"/>
      <protection/>
    </xf>
    <xf numFmtId="170" fontId="1" fillId="0" borderId="0" xfId="42" applyNumberFormat="1" applyFont="1" applyFill="1" applyAlignment="1">
      <alignment/>
    </xf>
    <xf numFmtId="0" fontId="32" fillId="0" borderId="0" xfId="62" applyFont="1">
      <alignment/>
      <protection/>
    </xf>
    <xf numFmtId="0" fontId="8" fillId="0" borderId="0" xfId="62" applyFont="1" applyFill="1" applyBorder="1">
      <alignment/>
      <protection/>
    </xf>
    <xf numFmtId="0" fontId="0" fillId="0" borderId="0" xfId="0" applyBorder="1" applyAlignment="1">
      <alignment/>
    </xf>
    <xf numFmtId="0" fontId="0" fillId="0" borderId="0" xfId="0" applyAlignment="1" applyProtection="1">
      <alignment/>
      <protection locked="0"/>
    </xf>
    <xf numFmtId="0" fontId="2" fillId="0" borderId="0" xfId="0" applyFont="1" applyAlignment="1" applyProtection="1">
      <alignment/>
      <protection locked="0"/>
    </xf>
    <xf numFmtId="0" fontId="47" fillId="0" borderId="0" xfId="0" applyFont="1" applyAlignment="1" applyProtection="1">
      <alignment/>
      <protection locked="0"/>
    </xf>
    <xf numFmtId="0" fontId="2" fillId="0" borderId="0" xfId="0" applyFont="1" applyFill="1" applyAlignment="1" applyProtection="1">
      <alignment/>
      <protection locked="0"/>
    </xf>
    <xf numFmtId="0" fontId="0" fillId="0" borderId="0" xfId="0" applyFont="1" applyFill="1" applyAlignment="1" applyProtection="1">
      <alignment/>
      <protection locked="0"/>
    </xf>
    <xf numFmtId="169" fontId="2" fillId="24" borderId="19" xfId="0" applyNumberFormat="1" applyFont="1" applyFill="1" applyBorder="1" applyAlignment="1" applyProtection="1">
      <alignment horizontal="center" vertical="center" wrapText="1"/>
      <protection locked="0"/>
    </xf>
    <xf numFmtId="169" fontId="2" fillId="24" borderId="19"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169" fontId="2" fillId="24" borderId="20" xfId="0" applyNumberFormat="1" applyFont="1" applyFill="1" applyBorder="1" applyAlignment="1" applyProtection="1">
      <alignment horizontal="center" vertical="center" wrapText="1"/>
      <protection locked="0"/>
    </xf>
    <xf numFmtId="169" fontId="2" fillId="24" borderId="20" xfId="0" applyNumberFormat="1" applyFont="1" applyFill="1" applyBorder="1" applyAlignment="1" applyProtection="1">
      <alignment horizontal="center" vertical="center"/>
      <protection locked="0"/>
    </xf>
    <xf numFmtId="169" fontId="2" fillId="24" borderId="17" xfId="0" applyNumberFormat="1" applyFont="1" applyFill="1" applyBorder="1" applyAlignment="1" applyProtection="1">
      <alignment horizontal="center" vertical="center" wrapText="1"/>
      <protection locked="0"/>
    </xf>
    <xf numFmtId="169" fontId="2" fillId="24" borderId="17" xfId="0" applyNumberFormat="1" applyFont="1" applyFill="1" applyBorder="1" applyAlignment="1" applyProtection="1">
      <alignment horizontal="center" vertical="center"/>
      <protection locked="0"/>
    </xf>
    <xf numFmtId="0" fontId="2" fillId="0" borderId="0" xfId="0" applyFont="1" applyBorder="1" applyAlignment="1" applyProtection="1">
      <alignment/>
      <protection locked="0"/>
    </xf>
    <xf numFmtId="0" fontId="0" fillId="0" borderId="0" xfId="0" applyFill="1" applyBorder="1" applyAlignment="1" applyProtection="1">
      <alignment/>
      <protection locked="0"/>
    </xf>
    <xf numFmtId="0" fontId="2" fillId="0" borderId="0" xfId="0" applyFont="1" applyFill="1" applyBorder="1" applyAlignment="1" applyProtection="1">
      <alignment/>
      <protection locked="0"/>
    </xf>
    <xf numFmtId="0" fontId="47" fillId="0" borderId="0" xfId="0" applyFont="1" applyFill="1" applyBorder="1" applyAlignment="1" applyProtection="1">
      <alignment/>
      <protection locked="0"/>
    </xf>
    <xf numFmtId="0" fontId="2"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2" fillId="24" borderId="21" xfId="0" applyFont="1" applyFill="1" applyBorder="1" applyAlignment="1" applyProtection="1">
      <alignment horizontal="center" vertical="center"/>
      <protection locked="0"/>
    </xf>
    <xf numFmtId="0" fontId="2" fillId="24" borderId="22" xfId="0" applyFont="1" applyFill="1" applyBorder="1" applyAlignment="1" applyProtection="1">
      <alignment horizontal="center" vertical="center"/>
      <protection locked="0"/>
    </xf>
    <xf numFmtId="0" fontId="2" fillId="24" borderId="23" xfId="0" applyFont="1" applyFill="1" applyBorder="1" applyAlignment="1" applyProtection="1">
      <alignment horizontal="center" vertical="center"/>
      <protection locked="0"/>
    </xf>
    <xf numFmtId="0" fontId="2" fillId="24" borderId="13" xfId="0" applyFont="1" applyFill="1" applyBorder="1" applyAlignment="1" applyProtection="1">
      <alignment horizontal="center" vertical="center"/>
      <protection locked="0"/>
    </xf>
    <xf numFmtId="169" fontId="2" fillId="24" borderId="24" xfId="0" applyNumberFormat="1" applyFont="1" applyFill="1" applyBorder="1" applyAlignment="1" applyProtection="1">
      <alignment horizontal="center" vertical="center" wrapText="1"/>
      <protection locked="0"/>
    </xf>
    <xf numFmtId="169" fontId="2" fillId="24" borderId="24" xfId="0" applyNumberFormat="1" applyFont="1" applyFill="1" applyBorder="1" applyAlignment="1" applyProtection="1">
      <alignment horizontal="center" vertical="center"/>
      <protection locked="0"/>
    </xf>
    <xf numFmtId="9" fontId="1" fillId="0" borderId="0" xfId="66" applyFont="1" applyFill="1" applyAlignment="1">
      <alignment/>
    </xf>
    <xf numFmtId="0" fontId="24" fillId="0" borderId="0" xfId="62" applyFont="1">
      <alignment/>
      <protection/>
    </xf>
    <xf numFmtId="0" fontId="0" fillId="0" borderId="25" xfId="0" applyFont="1" applyFill="1" applyBorder="1" applyAlignment="1">
      <alignment/>
    </xf>
    <xf numFmtId="0" fontId="8" fillId="0" borderId="26" xfId="62" applyFont="1" applyBorder="1">
      <alignment/>
      <protection/>
    </xf>
    <xf numFmtId="0" fontId="8" fillId="0" borderId="26" xfId="62" applyFont="1" applyFill="1" applyBorder="1">
      <alignment/>
      <protection/>
    </xf>
    <xf numFmtId="0" fontId="8" fillId="22" borderId="0" xfId="62" applyFont="1" applyFill="1">
      <alignment/>
      <protection/>
    </xf>
    <xf numFmtId="6" fontId="8" fillId="0" borderId="0" xfId="62" applyNumberFormat="1" applyFont="1">
      <alignment/>
      <protection/>
    </xf>
    <xf numFmtId="0" fontId="32" fillId="0" borderId="0" xfId="0" applyFont="1" applyAlignment="1">
      <alignment/>
    </xf>
    <xf numFmtId="0" fontId="3" fillId="24" borderId="27" xfId="0" applyFont="1" applyFill="1" applyBorder="1" applyAlignment="1" applyProtection="1">
      <alignment horizontal="center"/>
      <protection locked="0"/>
    </xf>
    <xf numFmtId="0" fontId="3" fillId="24" borderId="28" xfId="0" applyFont="1" applyFill="1" applyBorder="1" applyAlignment="1" applyProtection="1">
      <alignment horizontal="center"/>
      <protection locked="0"/>
    </xf>
    <xf numFmtId="0" fontId="3" fillId="24" borderId="29" xfId="0" applyFont="1" applyFill="1" applyBorder="1" applyAlignment="1" applyProtection="1">
      <alignment horizontal="center"/>
      <protection locked="0"/>
    </xf>
    <xf numFmtId="3" fontId="3" fillId="24" borderId="30" xfId="0" applyNumberFormat="1" applyFont="1" applyFill="1" applyBorder="1" applyAlignment="1" applyProtection="1">
      <alignment vertical="center" wrapText="1"/>
      <protection locked="0"/>
    </xf>
    <xf numFmtId="3" fontId="3" fillId="24" borderId="31" xfId="0" applyNumberFormat="1" applyFont="1" applyFill="1" applyBorder="1" applyAlignment="1" applyProtection="1">
      <alignment vertical="center" wrapText="1"/>
      <protection locked="0"/>
    </xf>
    <xf numFmtId="0" fontId="0" fillId="24" borderId="27" xfId="0" applyFill="1" applyBorder="1" applyAlignment="1" applyProtection="1">
      <alignment/>
      <protection locked="0"/>
    </xf>
    <xf numFmtId="0" fontId="0" fillId="24" borderId="32" xfId="0" applyFill="1" applyBorder="1" applyAlignment="1" applyProtection="1">
      <alignment/>
      <protection locked="0"/>
    </xf>
    <xf numFmtId="0" fontId="0" fillId="0" borderId="0" xfId="61">
      <alignment/>
      <protection/>
    </xf>
    <xf numFmtId="0" fontId="0" fillId="0" borderId="0" xfId="61" applyFont="1">
      <alignment/>
      <protection/>
    </xf>
    <xf numFmtId="3" fontId="3" fillId="24" borderId="29" xfId="0" applyNumberFormat="1" applyFont="1" applyFill="1" applyBorder="1" applyAlignment="1" applyProtection="1">
      <alignment vertical="center" wrapText="1"/>
      <protection locked="0"/>
    </xf>
    <xf numFmtId="2" fontId="0" fillId="24" borderId="27" xfId="0" applyNumberFormat="1" applyFill="1" applyBorder="1" applyAlignment="1" applyProtection="1">
      <alignment/>
      <protection locked="0"/>
    </xf>
    <xf numFmtId="0" fontId="37" fillId="24" borderId="0" xfId="0" applyFont="1" applyFill="1" applyBorder="1" applyAlignment="1" applyProtection="1">
      <alignment vertical="top" wrapText="1"/>
      <protection locked="0"/>
    </xf>
    <xf numFmtId="0" fontId="37" fillId="24" borderId="33" xfId="0" applyFont="1" applyFill="1" applyBorder="1" applyAlignment="1" applyProtection="1">
      <alignment vertical="top" wrapText="1"/>
      <protection locked="0"/>
    </xf>
    <xf numFmtId="0" fontId="37" fillId="24" borderId="0" xfId="0" applyFont="1" applyFill="1" applyBorder="1" applyAlignment="1" applyProtection="1">
      <alignment/>
      <protection locked="0"/>
    </xf>
    <xf numFmtId="0" fontId="0" fillId="0" borderId="0" xfId="0" applyAlignment="1" applyProtection="1">
      <alignment/>
      <protection/>
    </xf>
    <xf numFmtId="0" fontId="27" fillId="0" borderId="0" xfId="0" applyFont="1" applyAlignment="1" applyProtection="1">
      <alignment/>
      <protection/>
    </xf>
    <xf numFmtId="0" fontId="0" fillId="0" borderId="0" xfId="0" applyFont="1" applyAlignment="1" applyProtection="1">
      <alignment/>
      <protection/>
    </xf>
    <xf numFmtId="0" fontId="0" fillId="24" borderId="0" xfId="0" applyFont="1" applyFill="1" applyAlignment="1" applyProtection="1">
      <alignment/>
      <protection/>
    </xf>
    <xf numFmtId="0" fontId="26" fillId="0" borderId="0" xfId="0" applyFont="1" applyAlignment="1" applyProtection="1">
      <alignment/>
      <protection/>
    </xf>
    <xf numFmtId="0" fontId="0" fillId="0" borderId="0" xfId="0" applyBorder="1" applyAlignment="1" applyProtection="1">
      <alignment/>
      <protection/>
    </xf>
    <xf numFmtId="3" fontId="3" fillId="0" borderId="30" xfId="0" applyNumberFormat="1" applyFont="1" applyFill="1" applyBorder="1" applyAlignment="1" applyProtection="1">
      <alignment vertical="center" wrapText="1"/>
      <protection/>
    </xf>
    <xf numFmtId="0" fontId="0" fillId="0" borderId="33" xfId="0" applyBorder="1" applyAlignment="1" applyProtection="1">
      <alignment/>
      <protection/>
    </xf>
    <xf numFmtId="3" fontId="4" fillId="0" borderId="27" xfId="0" applyNumberFormat="1" applyFont="1" applyFill="1" applyBorder="1" applyAlignment="1" applyProtection="1">
      <alignment wrapText="1"/>
      <protection/>
    </xf>
    <xf numFmtId="3" fontId="60" fillId="0" borderId="0" xfId="0" applyNumberFormat="1" applyFont="1" applyFill="1" applyBorder="1" applyAlignment="1" applyProtection="1">
      <alignment horizontal="left"/>
      <protection/>
    </xf>
    <xf numFmtId="3" fontId="63" fillId="0" borderId="0" xfId="0" applyNumberFormat="1" applyFont="1" applyFill="1" applyBorder="1" applyAlignment="1" applyProtection="1">
      <alignment vertical="center"/>
      <protection/>
    </xf>
    <xf numFmtId="0" fontId="0" fillId="25" borderId="34" xfId="0" applyFill="1" applyBorder="1" applyAlignment="1" applyProtection="1">
      <alignment/>
      <protection/>
    </xf>
    <xf numFmtId="0" fontId="0" fillId="25" borderId="0" xfId="0" applyFill="1" applyBorder="1" applyAlignment="1" applyProtection="1">
      <alignment/>
      <protection/>
    </xf>
    <xf numFmtId="0" fontId="0" fillId="25" borderId="35" xfId="0" applyFill="1" applyBorder="1" applyAlignment="1" applyProtection="1">
      <alignment/>
      <protection/>
    </xf>
    <xf numFmtId="0" fontId="0" fillId="25" borderId="36" xfId="0" applyFill="1" applyBorder="1" applyAlignment="1" applyProtection="1">
      <alignment/>
      <protection/>
    </xf>
    <xf numFmtId="0" fontId="25" fillId="25" borderId="37" xfId="0" applyFont="1" applyFill="1" applyBorder="1" applyAlignment="1" applyProtection="1">
      <alignment/>
      <protection/>
    </xf>
    <xf numFmtId="0" fontId="25" fillId="25" borderId="38" xfId="0" applyFont="1" applyFill="1" applyBorder="1" applyAlignment="1" applyProtection="1">
      <alignment/>
      <protection/>
    </xf>
    <xf numFmtId="0" fontId="25" fillId="25" borderId="39" xfId="0" applyFont="1" applyFill="1" applyBorder="1" applyAlignment="1" applyProtection="1">
      <alignment/>
      <protection/>
    </xf>
    <xf numFmtId="0" fontId="0" fillId="0" borderId="36" xfId="0" applyBorder="1" applyAlignment="1" applyProtection="1">
      <alignment/>
      <protection/>
    </xf>
    <xf numFmtId="0" fontId="31" fillId="0" borderId="0" xfId="0" applyFont="1" applyAlignment="1" applyProtection="1">
      <alignment/>
      <protection/>
    </xf>
    <xf numFmtId="0" fontId="0" fillId="25" borderId="25" xfId="0" applyFill="1" applyBorder="1" applyAlignment="1" applyProtection="1">
      <alignment horizontal="left"/>
      <protection/>
    </xf>
    <xf numFmtId="0" fontId="0" fillId="25" borderId="38" xfId="0" applyFill="1" applyBorder="1" applyAlignment="1" applyProtection="1">
      <alignment horizontal="left"/>
      <protection/>
    </xf>
    <xf numFmtId="0" fontId="0" fillId="25" borderId="38" xfId="0" applyFill="1" applyBorder="1" applyAlignment="1" applyProtection="1">
      <alignment/>
      <protection/>
    </xf>
    <xf numFmtId="0" fontId="0" fillId="25" borderId="39" xfId="0" applyFill="1" applyBorder="1" applyAlignment="1" applyProtection="1">
      <alignment/>
      <protection/>
    </xf>
    <xf numFmtId="0" fontId="0" fillId="0" borderId="0" xfId="0" applyAlignment="1" applyProtection="1">
      <alignment horizontal="left"/>
      <protection/>
    </xf>
    <xf numFmtId="0" fontId="0" fillId="25" borderId="40" xfId="0" applyFill="1" applyBorder="1" applyAlignment="1" applyProtection="1">
      <alignment horizontal="left"/>
      <protection/>
    </xf>
    <xf numFmtId="0" fontId="0" fillId="25" borderId="26" xfId="0" applyFill="1" applyBorder="1" applyAlignment="1" applyProtection="1">
      <alignment horizontal="left"/>
      <protection/>
    </xf>
    <xf numFmtId="0" fontId="37" fillId="25" borderId="26" xfId="0" applyFont="1" applyFill="1" applyBorder="1" applyAlignment="1" applyProtection="1">
      <alignment horizontal="center"/>
      <protection/>
    </xf>
    <xf numFmtId="0" fontId="37" fillId="25" borderId="41" xfId="0" applyFont="1" applyFill="1" applyBorder="1" applyAlignment="1" applyProtection="1">
      <alignment horizontal="center"/>
      <protection/>
    </xf>
    <xf numFmtId="0" fontId="0" fillId="0" borderId="25" xfId="0" applyFont="1" applyFill="1" applyBorder="1" applyAlignment="1" applyProtection="1">
      <alignment vertical="top" wrapText="1"/>
      <protection/>
    </xf>
    <xf numFmtId="0" fontId="0" fillId="0" borderId="39" xfId="0" applyFont="1" applyFill="1" applyBorder="1" applyAlignment="1" applyProtection="1">
      <alignment vertical="top" wrapText="1"/>
      <protection/>
    </xf>
    <xf numFmtId="0" fontId="0" fillId="0" borderId="38" xfId="0" applyFont="1" applyFill="1" applyBorder="1" applyAlignment="1" applyProtection="1">
      <alignment horizontal="left" vertical="top" wrapText="1"/>
      <protection/>
    </xf>
    <xf numFmtId="0" fontId="0" fillId="0" borderId="39"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36" xfId="0" applyFont="1" applyFill="1" applyBorder="1" applyAlignment="1" applyProtection="1">
      <alignment horizontal="left" vertical="top" wrapText="1"/>
      <protection/>
    </xf>
    <xf numFmtId="0" fontId="0" fillId="25" borderId="0" xfId="0" applyFill="1" applyAlignment="1" applyProtection="1">
      <alignment/>
      <protection/>
    </xf>
    <xf numFmtId="0" fontId="0" fillId="25" borderId="42" xfId="0" applyFill="1" applyBorder="1" applyAlignment="1" applyProtection="1">
      <alignment/>
      <protection/>
    </xf>
    <xf numFmtId="0" fontId="0" fillId="20" borderId="32" xfId="0" applyFont="1" applyFill="1" applyBorder="1" applyAlignment="1" applyProtection="1">
      <alignment horizontal="center" vertical="top" wrapText="1"/>
      <protection/>
    </xf>
    <xf numFmtId="0" fontId="37" fillId="0" borderId="27" xfId="0" applyFont="1" applyFill="1" applyBorder="1" applyAlignment="1" applyProtection="1">
      <alignment horizontal="center" vertical="top" wrapText="1"/>
      <protection/>
    </xf>
    <xf numFmtId="3" fontId="0" fillId="0" borderId="43" xfId="0" applyNumberFormat="1" applyFont="1" applyFill="1" applyBorder="1" applyAlignment="1" applyProtection="1">
      <alignment horizontal="center"/>
      <protection/>
    </xf>
    <xf numFmtId="0" fontId="57" fillId="21" borderId="25" xfId="0" applyFont="1" applyFill="1" applyBorder="1" applyAlignment="1" applyProtection="1">
      <alignment/>
      <protection/>
    </xf>
    <xf numFmtId="0" fontId="25" fillId="21" borderId="38" xfId="0" applyFont="1" applyFill="1" applyBorder="1" applyAlignment="1" applyProtection="1">
      <alignment/>
      <protection/>
    </xf>
    <xf numFmtId="0" fontId="25" fillId="21" borderId="39" xfId="0" applyFont="1" applyFill="1" applyBorder="1" applyAlignment="1" applyProtection="1">
      <alignment/>
      <protection/>
    </xf>
    <xf numFmtId="0" fontId="0" fillId="0" borderId="44" xfId="0" applyFont="1" applyBorder="1" applyAlignment="1" applyProtection="1">
      <alignment horizontal="center"/>
      <protection/>
    </xf>
    <xf numFmtId="9" fontId="0" fillId="0" borderId="44" xfId="66" applyFont="1" applyBorder="1" applyAlignment="1" applyProtection="1">
      <alignment horizontal="center"/>
      <protection/>
    </xf>
    <xf numFmtId="9" fontId="0" fillId="0" borderId="45" xfId="66" applyNumberFormat="1" applyFont="1" applyBorder="1" applyAlignment="1" applyProtection="1">
      <alignment horizontal="center"/>
      <protection/>
    </xf>
    <xf numFmtId="0" fontId="0" fillId="25" borderId="25" xfId="0" applyFill="1" applyBorder="1" applyAlignment="1" applyProtection="1">
      <alignment/>
      <protection/>
    </xf>
    <xf numFmtId="0" fontId="31" fillId="0" borderId="25" xfId="0" applyFont="1" applyBorder="1" applyAlignment="1" applyProtection="1">
      <alignment/>
      <protection/>
    </xf>
    <xf numFmtId="0" fontId="0" fillId="0" borderId="38" xfId="0" applyBorder="1" applyAlignment="1" applyProtection="1">
      <alignment/>
      <protection/>
    </xf>
    <xf numFmtId="0" fontId="0" fillId="0" borderId="39" xfId="0" applyBorder="1" applyAlignment="1" applyProtection="1">
      <alignment/>
      <protection/>
    </xf>
    <xf numFmtId="0" fontId="0" fillId="21" borderId="46" xfId="0" applyFont="1" applyFill="1" applyBorder="1" applyAlignment="1" applyProtection="1">
      <alignment horizontal="center" vertical="center" wrapText="1"/>
      <protection/>
    </xf>
    <xf numFmtId="0" fontId="37" fillId="0" borderId="47" xfId="0" applyFont="1" applyBorder="1" applyAlignment="1" applyProtection="1">
      <alignment horizontal="center"/>
      <protection/>
    </xf>
    <xf numFmtId="166" fontId="37" fillId="0" borderId="48" xfId="0" applyNumberFormat="1" applyFont="1" applyFill="1" applyBorder="1" applyAlignment="1" applyProtection="1">
      <alignment/>
      <protection/>
    </xf>
    <xf numFmtId="0" fontId="37" fillId="0" borderId="16" xfId="0" applyFont="1" applyBorder="1" applyAlignment="1" applyProtection="1">
      <alignment horizontal="center"/>
      <protection/>
    </xf>
    <xf numFmtId="0" fontId="37" fillId="0" borderId="49" xfId="0" applyFont="1" applyBorder="1" applyAlignment="1" applyProtection="1">
      <alignment horizontal="center"/>
      <protection/>
    </xf>
    <xf numFmtId="0" fontId="0" fillId="0" borderId="50" xfId="0" applyFont="1" applyFill="1" applyBorder="1" applyAlignment="1" applyProtection="1">
      <alignment horizontal="left" vertical="top" wrapText="1"/>
      <protection/>
    </xf>
    <xf numFmtId="0" fontId="37" fillId="0" borderId="51" xfId="0" applyFont="1" applyBorder="1" applyAlignment="1" applyProtection="1">
      <alignment horizontal="center"/>
      <protection/>
    </xf>
    <xf numFmtId="0" fontId="0" fillId="21" borderId="52" xfId="0" applyFont="1" applyFill="1" applyBorder="1" applyAlignment="1" applyProtection="1">
      <alignment horizontal="center" vertical="center" wrapText="1"/>
      <protection/>
    </xf>
    <xf numFmtId="0" fontId="0" fillId="21" borderId="53" xfId="0" applyFill="1" applyBorder="1" applyAlignment="1" applyProtection="1">
      <alignment horizontal="center" vertical="center"/>
      <protection/>
    </xf>
    <xf numFmtId="0" fontId="0" fillId="0" borderId="49" xfId="0" applyFont="1" applyFill="1" applyBorder="1" applyAlignment="1" applyProtection="1">
      <alignment horizontal="center" vertical="top" wrapText="1"/>
      <protection/>
    </xf>
    <xf numFmtId="0" fontId="0" fillId="0" borderId="47" xfId="0" applyFont="1" applyFill="1" applyBorder="1" applyAlignment="1" applyProtection="1">
      <alignment horizontal="center" vertical="top" wrapText="1"/>
      <protection/>
    </xf>
    <xf numFmtId="0" fontId="0" fillId="0" borderId="54" xfId="0" applyFont="1" applyFill="1" applyBorder="1" applyAlignment="1" applyProtection="1">
      <alignment horizontal="center" vertical="top" wrapText="1"/>
      <protection/>
    </xf>
    <xf numFmtId="0" fontId="0" fillId="0" borderId="16" xfId="0" applyFont="1" applyFill="1" applyBorder="1" applyAlignment="1" applyProtection="1">
      <alignment horizontal="center" vertical="top" wrapText="1"/>
      <protection/>
    </xf>
    <xf numFmtId="0" fontId="0" fillId="0" borderId="51" xfId="0" applyFont="1" applyFill="1" applyBorder="1" applyAlignment="1" applyProtection="1">
      <alignment horizontal="center" vertical="top" wrapText="1"/>
      <protection/>
    </xf>
    <xf numFmtId="0" fontId="0" fillId="25" borderId="40" xfId="0" applyFill="1" applyBorder="1" applyAlignment="1" applyProtection="1">
      <alignment/>
      <protection/>
    </xf>
    <xf numFmtId="0" fontId="0" fillId="25" borderId="26" xfId="0" applyFill="1" applyBorder="1" applyAlignment="1" applyProtection="1">
      <alignment/>
      <protection/>
    </xf>
    <xf numFmtId="0" fontId="0" fillId="25" borderId="41" xfId="0" applyFill="1" applyBorder="1" applyAlignment="1" applyProtection="1">
      <alignment/>
      <protection/>
    </xf>
    <xf numFmtId="0" fontId="0" fillId="20" borderId="55" xfId="0" applyFill="1" applyBorder="1" applyAlignment="1" applyProtection="1">
      <alignment/>
      <protection/>
    </xf>
    <xf numFmtId="0" fontId="0" fillId="0" borderId="32" xfId="0" applyFill="1" applyBorder="1" applyAlignment="1" applyProtection="1">
      <alignment/>
      <protection/>
    </xf>
    <xf numFmtId="0" fontId="0" fillId="0" borderId="42" xfId="0" applyBorder="1" applyAlignment="1" applyProtection="1">
      <alignment/>
      <protection/>
    </xf>
    <xf numFmtId="0" fontId="0" fillId="21" borderId="0" xfId="0" applyFill="1" applyAlignment="1" applyProtection="1">
      <alignment/>
      <protection/>
    </xf>
    <xf numFmtId="0" fontId="0" fillId="21" borderId="36" xfId="0" applyFill="1" applyBorder="1" applyAlignment="1" applyProtection="1">
      <alignment/>
      <protection/>
    </xf>
    <xf numFmtId="0" fontId="0" fillId="20" borderId="38" xfId="0" applyFill="1" applyBorder="1" applyAlignment="1" applyProtection="1">
      <alignment/>
      <protection/>
    </xf>
    <xf numFmtId="2" fontId="0" fillId="0" borderId="27" xfId="0" applyNumberFormat="1" applyFill="1" applyBorder="1" applyAlignment="1" applyProtection="1">
      <alignment/>
      <protection/>
    </xf>
    <xf numFmtId="0" fontId="12" fillId="21" borderId="32" xfId="0" applyFont="1" applyFill="1" applyBorder="1" applyAlignment="1" applyProtection="1">
      <alignment/>
      <protection/>
    </xf>
    <xf numFmtId="0" fontId="12" fillId="21" borderId="32" xfId="0" applyFont="1" applyFill="1" applyBorder="1" applyAlignment="1" applyProtection="1">
      <alignment horizontal="center"/>
      <protection/>
    </xf>
    <xf numFmtId="0" fontId="12" fillId="21" borderId="27" xfId="0" applyFont="1" applyFill="1" applyBorder="1" applyAlignment="1" applyProtection="1">
      <alignment/>
      <protection/>
    </xf>
    <xf numFmtId="0" fontId="12" fillId="21" borderId="38" xfId="0" applyFont="1" applyFill="1" applyBorder="1" applyAlignment="1" applyProtection="1">
      <alignment horizontal="center"/>
      <protection/>
    </xf>
    <xf numFmtId="0" fontId="12" fillId="21" borderId="27" xfId="0" applyFont="1" applyFill="1" applyBorder="1" applyAlignment="1" applyProtection="1">
      <alignment horizontal="center"/>
      <protection/>
    </xf>
    <xf numFmtId="0" fontId="12" fillId="21" borderId="39" xfId="0" applyFont="1" applyFill="1" applyBorder="1" applyAlignment="1" applyProtection="1">
      <alignment horizontal="center"/>
      <protection/>
    </xf>
    <xf numFmtId="0" fontId="0" fillId="0" borderId="27" xfId="0" applyBorder="1" applyAlignment="1" applyProtection="1">
      <alignment/>
      <protection/>
    </xf>
    <xf numFmtId="3" fontId="0" fillId="0" borderId="27" xfId="0" applyNumberFormat="1" applyFill="1" applyBorder="1" applyAlignment="1" applyProtection="1">
      <alignment/>
      <protection/>
    </xf>
    <xf numFmtId="9" fontId="0" fillId="0" borderId="27" xfId="66" applyFont="1" applyFill="1" applyBorder="1" applyAlignment="1" applyProtection="1">
      <alignment horizontal="center"/>
      <protection/>
    </xf>
    <xf numFmtId="0" fontId="33" fillId="0" borderId="38" xfId="0" applyFont="1" applyFill="1" applyBorder="1" applyAlignment="1" applyProtection="1">
      <alignment/>
      <protection/>
    </xf>
    <xf numFmtId="0" fontId="12" fillId="21" borderId="38" xfId="0" applyFont="1" applyFill="1" applyBorder="1" applyAlignment="1" applyProtection="1">
      <alignment/>
      <protection/>
    </xf>
    <xf numFmtId="0" fontId="12" fillId="21" borderId="56" xfId="0" applyFont="1" applyFill="1" applyBorder="1" applyAlignment="1" applyProtection="1">
      <alignment horizontal="center"/>
      <protection/>
    </xf>
    <xf numFmtId="0" fontId="0" fillId="26" borderId="57" xfId="0" applyFill="1" applyBorder="1" applyAlignment="1" applyProtection="1">
      <alignment/>
      <protection/>
    </xf>
    <xf numFmtId="0" fontId="0" fillId="26" borderId="55" xfId="0" applyFill="1" applyBorder="1" applyAlignment="1" applyProtection="1">
      <alignment/>
      <protection/>
    </xf>
    <xf numFmtId="0" fontId="0" fillId="26" borderId="42" xfId="0" applyFill="1" applyBorder="1" applyAlignment="1" applyProtection="1">
      <alignment/>
      <protection/>
    </xf>
    <xf numFmtId="0" fontId="0" fillId="26" borderId="50" xfId="0" applyFill="1" applyBorder="1" applyAlignment="1" applyProtection="1">
      <alignment/>
      <protection/>
    </xf>
    <xf numFmtId="0" fontId="0" fillId="26" borderId="0" xfId="0" applyFill="1" applyBorder="1" applyAlignment="1" applyProtection="1">
      <alignment/>
      <protection/>
    </xf>
    <xf numFmtId="0" fontId="0" fillId="26" borderId="36" xfId="0" applyFill="1" applyBorder="1" applyAlignment="1" applyProtection="1">
      <alignment/>
      <protection/>
    </xf>
    <xf numFmtId="3" fontId="0" fillId="0" borderId="25" xfId="0" applyNumberFormat="1" applyFill="1" applyBorder="1" applyAlignment="1" applyProtection="1">
      <alignment/>
      <protection/>
    </xf>
    <xf numFmtId="0" fontId="0" fillId="26" borderId="40" xfId="0" applyFill="1" applyBorder="1" applyAlignment="1" applyProtection="1">
      <alignment/>
      <protection/>
    </xf>
    <xf numFmtId="0" fontId="0" fillId="26" borderId="26" xfId="0" applyFill="1" applyBorder="1" applyAlignment="1" applyProtection="1">
      <alignment/>
      <protection/>
    </xf>
    <xf numFmtId="0" fontId="0" fillId="26" borderId="41" xfId="0" applyFill="1" applyBorder="1" applyAlignment="1" applyProtection="1">
      <alignment/>
      <protection/>
    </xf>
    <xf numFmtId="0" fontId="37" fillId="25" borderId="26" xfId="0" applyFont="1" applyFill="1" applyBorder="1" applyAlignment="1" applyProtection="1">
      <alignment horizontal="left"/>
      <protection/>
    </xf>
    <xf numFmtId="0" fontId="37" fillId="0" borderId="29" xfId="0" applyFont="1" applyFill="1" applyBorder="1" applyAlignment="1" applyProtection="1">
      <alignment horizontal="center" vertical="top" wrapText="1"/>
      <protection/>
    </xf>
    <xf numFmtId="0" fontId="37" fillId="0" borderId="48" xfId="0" applyFont="1" applyFill="1" applyBorder="1" applyAlignment="1" applyProtection="1">
      <alignment vertical="top" wrapText="1"/>
      <protection/>
    </xf>
    <xf numFmtId="0" fontId="37" fillId="0" borderId="48" xfId="0" applyFont="1" applyFill="1" applyBorder="1" applyAlignment="1" applyProtection="1">
      <alignment/>
      <protection/>
    </xf>
    <xf numFmtId="0" fontId="37" fillId="0" borderId="0" xfId="0" applyFont="1" applyFill="1" applyBorder="1" applyAlignment="1" applyProtection="1">
      <alignment/>
      <protection/>
    </xf>
    <xf numFmtId="0" fontId="37" fillId="0" borderId="36" xfId="0" applyFont="1" applyFill="1" applyBorder="1" applyAlignment="1" applyProtection="1">
      <alignment/>
      <protection/>
    </xf>
    <xf numFmtId="0" fontId="25" fillId="6" borderId="0" xfId="0" applyFont="1" applyFill="1" applyBorder="1" applyAlignment="1" applyProtection="1">
      <alignment/>
      <protection locked="0"/>
    </xf>
    <xf numFmtId="0" fontId="0" fillId="6" borderId="0" xfId="0" applyFill="1" applyBorder="1" applyAlignment="1" applyProtection="1">
      <alignment/>
      <protection locked="0"/>
    </xf>
    <xf numFmtId="0" fontId="0" fillId="6" borderId="0" xfId="0" applyFill="1" applyAlignment="1" applyProtection="1">
      <alignment/>
      <protection locked="0"/>
    </xf>
    <xf numFmtId="0" fontId="0" fillId="6" borderId="36" xfId="0" applyFill="1" applyBorder="1" applyAlignment="1" applyProtection="1">
      <alignment/>
      <protection locked="0"/>
    </xf>
    <xf numFmtId="0" fontId="25" fillId="6" borderId="40" xfId="0" applyFont="1" applyFill="1" applyBorder="1" applyAlignment="1" applyProtection="1">
      <alignment/>
      <protection locked="0"/>
    </xf>
    <xf numFmtId="0" fontId="0" fillId="6" borderId="26" xfId="0" applyFill="1" applyBorder="1" applyAlignment="1" applyProtection="1">
      <alignment/>
      <protection locked="0"/>
    </xf>
    <xf numFmtId="0" fontId="0" fillId="6" borderId="41" xfId="0" applyFill="1" applyBorder="1" applyAlignment="1" applyProtection="1">
      <alignment/>
      <protection locked="0"/>
    </xf>
    <xf numFmtId="0" fontId="61" fillId="27" borderId="0" xfId="0" applyFont="1" applyFill="1" applyAlignment="1" applyProtection="1">
      <alignment/>
      <protection/>
    </xf>
    <xf numFmtId="0" fontId="61" fillId="27" borderId="0" xfId="0" applyFont="1" applyFill="1" applyAlignment="1" applyProtection="1">
      <alignment wrapText="1"/>
      <protection/>
    </xf>
    <xf numFmtId="0" fontId="5" fillId="27" borderId="0" xfId="0" applyFont="1" applyFill="1" applyAlignment="1" applyProtection="1">
      <alignment/>
      <protection/>
    </xf>
    <xf numFmtId="0" fontId="5" fillId="27" borderId="0" xfId="0" applyFont="1" applyFill="1" applyAlignment="1" applyProtection="1">
      <alignment horizontal="right" vertical="top" wrapText="1"/>
      <protection/>
    </xf>
    <xf numFmtId="0" fontId="3" fillId="27" borderId="50" xfId="0" applyFont="1" applyFill="1" applyBorder="1" applyAlignment="1" applyProtection="1">
      <alignment horizontal="justify" wrapText="1"/>
      <protection/>
    </xf>
    <xf numFmtId="0" fontId="3" fillId="27" borderId="36" xfId="0" applyFont="1" applyFill="1" applyBorder="1" applyAlignment="1" applyProtection="1">
      <alignment horizontal="justify" wrapText="1"/>
      <protection/>
    </xf>
    <xf numFmtId="0" fontId="3" fillId="27" borderId="50" xfId="0" applyFont="1" applyFill="1" applyBorder="1" applyAlignment="1" applyProtection="1">
      <alignment/>
      <protection/>
    </xf>
    <xf numFmtId="0" fontId="3" fillId="27" borderId="36" xfId="0" applyFont="1" applyFill="1" applyBorder="1" applyAlignment="1" applyProtection="1">
      <alignment wrapText="1"/>
      <protection/>
    </xf>
    <xf numFmtId="0" fontId="3" fillId="27" borderId="13" xfId="0" applyFont="1" applyFill="1" applyBorder="1" applyAlignment="1" applyProtection="1">
      <alignment wrapText="1"/>
      <protection/>
    </xf>
    <xf numFmtId="0" fontId="3" fillId="27" borderId="50" xfId="0" applyFont="1" applyFill="1" applyBorder="1" applyAlignment="1" applyProtection="1">
      <alignment horizontal="left"/>
      <protection/>
    </xf>
    <xf numFmtId="0" fontId="62" fillId="27" borderId="36" xfId="0" applyFont="1" applyFill="1" applyBorder="1" applyAlignment="1" applyProtection="1">
      <alignment horizontal="right" vertical="top" wrapText="1"/>
      <protection/>
    </xf>
    <xf numFmtId="0" fontId="3" fillId="27" borderId="36" xfId="0" applyFont="1" applyFill="1" applyBorder="1" applyAlignment="1" applyProtection="1">
      <alignment horizontal="right" vertical="top" wrapText="1"/>
      <protection/>
    </xf>
    <xf numFmtId="0" fontId="0" fillId="27" borderId="50" xfId="0" applyFill="1" applyBorder="1" applyAlignment="1" applyProtection="1">
      <alignment/>
      <protection/>
    </xf>
    <xf numFmtId="0" fontId="0" fillId="27" borderId="36" xfId="0" applyFill="1" applyBorder="1" applyAlignment="1" applyProtection="1">
      <alignment horizontal="right" vertical="top" wrapText="1"/>
      <protection/>
    </xf>
    <xf numFmtId="0" fontId="3" fillId="27" borderId="0" xfId="0" applyFont="1" applyFill="1" applyBorder="1" applyAlignment="1" applyProtection="1">
      <alignment/>
      <protection/>
    </xf>
    <xf numFmtId="0" fontId="3" fillId="27" borderId="40" xfId="0" applyFont="1" applyFill="1" applyBorder="1" applyAlignment="1" applyProtection="1">
      <alignment/>
      <protection/>
    </xf>
    <xf numFmtId="0" fontId="3" fillId="27" borderId="15" xfId="0" applyFont="1" applyFill="1" applyBorder="1" applyAlignment="1" applyProtection="1">
      <alignment wrapText="1"/>
      <protection/>
    </xf>
    <xf numFmtId="0" fontId="1" fillId="0" borderId="0" xfId="62" applyProtection="1">
      <alignment/>
      <protection/>
    </xf>
    <xf numFmtId="0" fontId="0" fillId="0" borderId="0" xfId="0" applyAlignment="1" applyProtection="1">
      <alignment/>
      <protection/>
    </xf>
    <xf numFmtId="0" fontId="8" fillId="0" borderId="0" xfId="62" applyFont="1" applyProtection="1">
      <alignment/>
      <protection/>
    </xf>
    <xf numFmtId="165" fontId="0" fillId="27" borderId="17" xfId="0" applyNumberFormat="1" applyFill="1" applyBorder="1" applyAlignment="1" applyProtection="1">
      <alignment horizontal="center"/>
      <protection/>
    </xf>
    <xf numFmtId="0" fontId="47" fillId="0" borderId="0" xfId="0" applyFont="1" applyAlignment="1" applyProtection="1">
      <alignment/>
      <protection/>
    </xf>
    <xf numFmtId="0" fontId="0" fillId="0" borderId="57" xfId="0" applyFont="1" applyFill="1" applyBorder="1" applyAlignment="1" applyProtection="1">
      <alignment/>
      <protection/>
    </xf>
    <xf numFmtId="0" fontId="0" fillId="0" borderId="55" xfId="0" applyFont="1" applyFill="1" applyBorder="1" applyAlignment="1" applyProtection="1">
      <alignment/>
      <protection/>
    </xf>
    <xf numFmtId="0" fontId="48" fillId="0" borderId="58" xfId="0" applyFont="1" applyFill="1" applyBorder="1" applyAlignment="1" applyProtection="1">
      <alignment vertical="top"/>
      <protection/>
    </xf>
    <xf numFmtId="0" fontId="48" fillId="0" borderId="59" xfId="0" applyFont="1" applyFill="1" applyBorder="1" applyAlignment="1" applyProtection="1">
      <alignment vertical="top"/>
      <protection/>
    </xf>
    <xf numFmtId="0" fontId="48" fillId="0" borderId="42" xfId="0" applyFont="1" applyFill="1" applyBorder="1" applyAlignment="1" applyProtection="1">
      <alignment vertical="top"/>
      <protection/>
    </xf>
    <xf numFmtId="0" fontId="48" fillId="0" borderId="60" xfId="0" applyFont="1" applyFill="1" applyBorder="1" applyAlignment="1" applyProtection="1">
      <alignment horizontal="center" vertical="top" wrapText="1"/>
      <protection/>
    </xf>
    <xf numFmtId="0" fontId="48" fillId="0" borderId="61" xfId="0" applyFont="1" applyFill="1" applyBorder="1" applyAlignment="1" applyProtection="1">
      <alignment horizontal="center" vertical="top" wrapText="1"/>
      <protection/>
    </xf>
    <xf numFmtId="0" fontId="48" fillId="0" borderId="61" xfId="0" applyFont="1" applyFill="1" applyBorder="1" applyAlignment="1" applyProtection="1">
      <alignment horizontal="center" vertical="top"/>
      <protection/>
    </xf>
    <xf numFmtId="0" fontId="48" fillId="0" borderId="23" xfId="61" applyFont="1" applyBorder="1" applyAlignment="1" applyProtection="1">
      <alignment horizontal="center" vertical="top" wrapText="1"/>
      <protection/>
    </xf>
    <xf numFmtId="0" fontId="48" fillId="0" borderId="62" xfId="0" applyFont="1" applyFill="1" applyBorder="1" applyAlignment="1" applyProtection="1">
      <alignment horizontal="center" vertical="top" wrapText="1"/>
      <protection/>
    </xf>
    <xf numFmtId="0" fontId="48" fillId="0" borderId="16" xfId="61" applyFont="1" applyBorder="1" applyAlignment="1" applyProtection="1">
      <alignment horizontal="center" vertical="center" wrapText="1"/>
      <protection/>
    </xf>
    <xf numFmtId="0" fontId="48" fillId="0" borderId="16" xfId="61" applyFont="1" applyBorder="1" applyAlignment="1" applyProtection="1">
      <alignment horizontal="center" vertical="center"/>
      <protection/>
    </xf>
    <xf numFmtId="0" fontId="48" fillId="0" borderId="63" xfId="61" applyFont="1" applyBorder="1" applyAlignment="1" applyProtection="1">
      <alignment horizontal="center" vertical="center"/>
      <protection/>
    </xf>
    <xf numFmtId="0" fontId="48" fillId="0" borderId="64" xfId="0" applyFont="1" applyFill="1" applyBorder="1" applyAlignment="1" applyProtection="1">
      <alignment horizontal="center" vertical="top"/>
      <protection/>
    </xf>
    <xf numFmtId="0" fontId="48" fillId="0" borderId="65" xfId="0" applyFont="1" applyFill="1" applyBorder="1" applyAlignment="1" applyProtection="1">
      <alignment horizontal="center" vertical="top"/>
      <protection/>
    </xf>
    <xf numFmtId="0" fontId="48" fillId="0" borderId="66" xfId="0" applyFont="1" applyFill="1" applyBorder="1" applyAlignment="1" applyProtection="1">
      <alignment horizontal="center" vertical="top" wrapText="1"/>
      <protection/>
    </xf>
    <xf numFmtId="0" fontId="48" fillId="0" borderId="67" xfId="0" applyFont="1" applyFill="1" applyBorder="1" applyAlignment="1" applyProtection="1">
      <alignment horizontal="center" vertical="top"/>
      <protection/>
    </xf>
    <xf numFmtId="0" fontId="48" fillId="0" borderId="68" xfId="61" applyFont="1" applyBorder="1" applyAlignment="1" applyProtection="1">
      <alignment horizontal="center"/>
      <protection/>
    </xf>
    <xf numFmtId="0" fontId="48" fillId="0" borderId="69" xfId="0" applyFont="1" applyFill="1" applyBorder="1" applyAlignment="1" applyProtection="1">
      <alignment horizontal="center" vertical="top" wrapText="1"/>
      <protection/>
    </xf>
    <xf numFmtId="0" fontId="48" fillId="0" borderId="70" xfId="0" applyFont="1" applyFill="1" applyBorder="1" applyAlignment="1" applyProtection="1">
      <alignment horizontal="center" vertical="top" wrapText="1"/>
      <protection/>
    </xf>
    <xf numFmtId="0" fontId="48" fillId="0" borderId="71" xfId="0" applyFont="1" applyFill="1" applyBorder="1" applyAlignment="1" applyProtection="1">
      <alignment vertical="top" wrapText="1"/>
      <protection/>
    </xf>
    <xf numFmtId="0" fontId="48" fillId="0" borderId="72" xfId="61" applyFont="1" applyBorder="1" applyAlignment="1" applyProtection="1">
      <alignment horizontal="center"/>
      <protection/>
    </xf>
    <xf numFmtId="0" fontId="2" fillId="0" borderId="72" xfId="61" applyFont="1" applyBorder="1" applyProtection="1">
      <alignment/>
      <protection/>
    </xf>
    <xf numFmtId="0" fontId="2" fillId="0" borderId="73" xfId="0" applyFont="1" applyFill="1" applyBorder="1" applyAlignment="1" applyProtection="1">
      <alignment vertical="center" wrapText="1"/>
      <protection/>
    </xf>
    <xf numFmtId="0" fontId="2" fillId="0" borderId="74" xfId="0" applyFont="1" applyFill="1" applyBorder="1" applyAlignment="1" applyProtection="1">
      <alignment vertical="center" wrapText="1"/>
      <protection/>
    </xf>
    <xf numFmtId="3" fontId="2" fillId="0" borderId="75" xfId="0" applyNumberFormat="1" applyFont="1" applyFill="1" applyBorder="1" applyAlignment="1" applyProtection="1">
      <alignment horizontal="center" vertical="center"/>
      <protection/>
    </xf>
    <xf numFmtId="3" fontId="2" fillId="0" borderId="19" xfId="0" applyNumberFormat="1" applyFont="1" applyFill="1" applyBorder="1" applyAlignment="1" applyProtection="1">
      <alignment horizontal="center" vertical="center"/>
      <protection/>
    </xf>
    <xf numFmtId="169" fontId="2" fillId="0" borderId="74" xfId="0" applyNumberFormat="1" applyFont="1" applyFill="1" applyBorder="1" applyAlignment="1" applyProtection="1">
      <alignment horizontal="center" vertical="center"/>
      <protection/>
    </xf>
    <xf numFmtId="169" fontId="2" fillId="0" borderId="19" xfId="0" applyNumberFormat="1" applyFont="1" applyFill="1" applyBorder="1" applyAlignment="1" applyProtection="1">
      <alignment horizontal="center" vertical="center"/>
      <protection/>
    </xf>
    <xf numFmtId="166" fontId="2" fillId="0" borderId="19" xfId="0" applyNumberFormat="1" applyFont="1" applyFill="1" applyBorder="1" applyAlignment="1" applyProtection="1">
      <alignment horizontal="center" vertical="center"/>
      <protection/>
    </xf>
    <xf numFmtId="167" fontId="2" fillId="0" borderId="76" xfId="0" applyNumberFormat="1" applyFont="1" applyFill="1" applyBorder="1" applyAlignment="1" applyProtection="1">
      <alignment horizontal="center" vertical="center"/>
      <protection/>
    </xf>
    <xf numFmtId="169" fontId="2" fillId="27" borderId="16" xfId="0" applyNumberFormat="1" applyFont="1" applyFill="1" applyBorder="1" applyAlignment="1" applyProtection="1">
      <alignment horizontal="center" vertical="center"/>
      <protection/>
    </xf>
    <xf numFmtId="169" fontId="2" fillId="27" borderId="11" xfId="0" applyNumberFormat="1" applyFont="1" applyFill="1" applyBorder="1" applyAlignment="1" applyProtection="1">
      <alignment horizontal="center" vertical="center"/>
      <protection/>
    </xf>
    <xf numFmtId="167" fontId="2" fillId="0" borderId="77" xfId="0" applyNumberFormat="1" applyFont="1" applyFill="1" applyBorder="1" applyAlignment="1" applyProtection="1">
      <alignment horizontal="center" vertical="center"/>
      <protection/>
    </xf>
    <xf numFmtId="167" fontId="2" fillId="0" borderId="78" xfId="0" applyNumberFormat="1" applyFont="1" applyFill="1" applyBorder="1" applyAlignment="1" applyProtection="1">
      <alignment horizontal="center" vertical="center"/>
      <protection/>
    </xf>
    <xf numFmtId="169" fontId="2" fillId="0" borderId="79" xfId="0" applyNumberFormat="1" applyFont="1" applyFill="1" applyBorder="1" applyAlignment="1" applyProtection="1">
      <alignment horizontal="center" vertical="center"/>
      <protection/>
    </xf>
    <xf numFmtId="0" fontId="2" fillId="0" borderId="24" xfId="0" applyFont="1" applyFill="1" applyBorder="1" applyAlignment="1" applyProtection="1">
      <alignment vertical="center" wrapText="1"/>
      <protection/>
    </xf>
    <xf numFmtId="3" fontId="2" fillId="0" borderId="80" xfId="0" applyNumberFormat="1" applyFont="1" applyFill="1" applyBorder="1" applyAlignment="1" applyProtection="1">
      <alignment horizontal="center" vertical="center"/>
      <protection/>
    </xf>
    <xf numFmtId="3" fontId="2" fillId="0" borderId="81" xfId="0" applyNumberFormat="1" applyFont="1" applyFill="1" applyBorder="1" applyAlignment="1" applyProtection="1">
      <alignment horizontal="center" vertical="center"/>
      <protection/>
    </xf>
    <xf numFmtId="169" fontId="2" fillId="0" borderId="70" xfId="0" applyNumberFormat="1" applyFont="1" applyFill="1" applyBorder="1" applyAlignment="1" applyProtection="1">
      <alignment horizontal="center" vertical="center"/>
      <protection/>
    </xf>
    <xf numFmtId="167" fontId="2" fillId="0" borderId="82" xfId="0" applyNumberFormat="1" applyFont="1" applyFill="1" applyBorder="1" applyAlignment="1" applyProtection="1">
      <alignment horizontal="center" vertical="center"/>
      <protection/>
    </xf>
    <xf numFmtId="0" fontId="2" fillId="22" borderId="83" xfId="0" applyFont="1" applyFill="1" applyBorder="1" applyAlignment="1" applyProtection="1">
      <alignment vertical="center"/>
      <protection/>
    </xf>
    <xf numFmtId="0" fontId="2" fillId="22" borderId="69" xfId="0" applyFont="1" applyFill="1" applyBorder="1" applyAlignment="1" applyProtection="1">
      <alignment vertical="center"/>
      <protection/>
    </xf>
    <xf numFmtId="0" fontId="2" fillId="22" borderId="84" xfId="0" applyFont="1" applyFill="1" applyBorder="1" applyAlignment="1" applyProtection="1">
      <alignment vertical="center"/>
      <protection/>
    </xf>
    <xf numFmtId="164" fontId="2" fillId="22" borderId="85"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2" fillId="0" borderId="0" xfId="0" applyFont="1" applyBorder="1" applyAlignment="1" applyProtection="1">
      <alignment/>
      <protection/>
    </xf>
    <xf numFmtId="3" fontId="2" fillId="0" borderId="16" xfId="0" applyNumberFormat="1" applyFont="1" applyBorder="1" applyAlignment="1" applyProtection="1">
      <alignment horizontal="center"/>
      <protection/>
    </xf>
    <xf numFmtId="0" fontId="2" fillId="28" borderId="0" xfId="0" applyFont="1" applyFill="1" applyBorder="1" applyAlignment="1" applyProtection="1">
      <alignment vertical="center"/>
      <protection/>
    </xf>
    <xf numFmtId="169" fontId="2" fillId="0" borderId="63" xfId="0" applyNumberFormat="1" applyFont="1" applyBorder="1" applyAlignment="1" applyProtection="1">
      <alignment horizontal="center"/>
      <protection/>
    </xf>
    <xf numFmtId="166" fontId="2" fillId="0" borderId="86" xfId="0" applyNumberFormat="1" applyFont="1" applyFill="1" applyBorder="1" applyAlignment="1" applyProtection="1">
      <alignment horizontal="center" vertical="center"/>
      <protection/>
    </xf>
    <xf numFmtId="167" fontId="2" fillId="27" borderId="87" xfId="0" applyNumberFormat="1" applyFont="1" applyFill="1" applyBorder="1" applyAlignment="1" applyProtection="1">
      <alignment horizontal="center" vertical="center"/>
      <protection/>
    </xf>
    <xf numFmtId="169" fontId="2" fillId="27" borderId="88" xfId="0" applyNumberFormat="1" applyFont="1" applyFill="1" applyBorder="1" applyAlignment="1" applyProtection="1">
      <alignment horizontal="center" vertical="center"/>
      <protection/>
    </xf>
    <xf numFmtId="3" fontId="2" fillId="27" borderId="54" xfId="0" applyNumberFormat="1" applyFont="1" applyFill="1" applyBorder="1" applyAlignment="1" applyProtection="1">
      <alignment horizontal="center"/>
      <protection/>
    </xf>
    <xf numFmtId="169" fontId="48" fillId="0" borderId="17" xfId="0" applyNumberFormat="1" applyFont="1" applyFill="1" applyBorder="1" applyAlignment="1" applyProtection="1">
      <alignment horizontal="center"/>
      <protection/>
    </xf>
    <xf numFmtId="0" fontId="48" fillId="0" borderId="89" xfId="0" applyFont="1" applyBorder="1" applyAlignment="1" applyProtection="1">
      <alignment horizontal="right"/>
      <protection/>
    </xf>
    <xf numFmtId="2" fontId="48" fillId="0" borderId="27" xfId="0" applyNumberFormat="1" applyFont="1" applyBorder="1" applyAlignment="1" applyProtection="1">
      <alignment horizontal="center" vertical="center"/>
      <protection/>
    </xf>
    <xf numFmtId="0" fontId="48" fillId="0" borderId="27" xfId="0" applyFont="1" applyBorder="1" applyAlignment="1" applyProtection="1">
      <alignment horizontal="center" vertical="center"/>
      <protection/>
    </xf>
    <xf numFmtId="169" fontId="48" fillId="0" borderId="39" xfId="0" applyNumberFormat="1" applyFont="1" applyBorder="1" applyAlignment="1" applyProtection="1">
      <alignment horizontal="center" vertical="center"/>
      <protection/>
    </xf>
    <xf numFmtId="169" fontId="48" fillId="0" borderId="0" xfId="0" applyNumberFormat="1" applyFont="1" applyFill="1" applyBorder="1" applyAlignment="1" applyProtection="1">
      <alignment horizontal="center"/>
      <protection/>
    </xf>
    <xf numFmtId="0" fontId="48" fillId="0" borderId="0" xfId="0" applyFont="1" applyBorder="1" applyAlignment="1" applyProtection="1">
      <alignment horizontal="right"/>
      <protection/>
    </xf>
    <xf numFmtId="0" fontId="2" fillId="0" borderId="0" xfId="0" applyFont="1" applyAlignment="1" applyProtection="1">
      <alignment/>
      <protection/>
    </xf>
    <xf numFmtId="0" fontId="2" fillId="0" borderId="0" xfId="0" applyFont="1" applyFill="1" applyBorder="1" applyAlignment="1" applyProtection="1">
      <alignment/>
      <protection/>
    </xf>
    <xf numFmtId="0" fontId="48" fillId="0" borderId="0" xfId="0" applyFont="1" applyFill="1" applyBorder="1" applyAlignment="1" applyProtection="1">
      <alignment horizontal="right"/>
      <protection/>
    </xf>
    <xf numFmtId="0" fontId="47" fillId="0" borderId="0" xfId="0" applyFont="1" applyFill="1" applyBorder="1" applyAlignment="1" applyProtection="1">
      <alignment/>
      <protection/>
    </xf>
    <xf numFmtId="0" fontId="0" fillId="0" borderId="0" xfId="0" applyFont="1" applyFill="1" applyBorder="1" applyAlignment="1" applyProtection="1">
      <alignment/>
      <protection/>
    </xf>
    <xf numFmtId="0" fontId="48" fillId="0" borderId="0" xfId="0" applyFont="1" applyFill="1" applyBorder="1" applyAlignment="1" applyProtection="1">
      <alignment vertical="top"/>
      <protection/>
    </xf>
    <xf numFmtId="0" fontId="48" fillId="0" borderId="0" xfId="0" applyFont="1" applyFill="1" applyBorder="1" applyAlignment="1" applyProtection="1">
      <alignment vertical="top" wrapText="1"/>
      <protection/>
    </xf>
    <xf numFmtId="0" fontId="48" fillId="0" borderId="0" xfId="0" applyFont="1" applyFill="1" applyBorder="1" applyAlignment="1" applyProtection="1">
      <alignment horizontal="center" vertical="top" wrapText="1"/>
      <protection/>
    </xf>
    <xf numFmtId="0" fontId="48" fillId="0" borderId="0" xfId="0" applyFont="1" applyFill="1" applyBorder="1" applyAlignment="1" applyProtection="1">
      <alignment horizontal="center" vertical="top"/>
      <protection/>
    </xf>
    <xf numFmtId="0" fontId="48" fillId="0" borderId="0" xfId="61" applyFont="1" applyFill="1" applyBorder="1" applyAlignment="1" applyProtection="1">
      <alignment horizontal="center" vertical="top" wrapText="1"/>
      <protection/>
    </xf>
    <xf numFmtId="0" fontId="48" fillId="0" borderId="0" xfId="61" applyFont="1" applyFill="1" applyBorder="1" applyAlignment="1" applyProtection="1">
      <alignment horizontal="center" vertical="center" wrapText="1"/>
      <protection/>
    </xf>
    <xf numFmtId="0" fontId="48" fillId="0" borderId="0" xfId="61" applyFont="1" applyFill="1" applyBorder="1" applyAlignment="1" applyProtection="1">
      <alignment horizontal="center" vertical="center"/>
      <protection/>
    </xf>
    <xf numFmtId="0" fontId="48" fillId="0" borderId="0" xfId="61" applyFont="1" applyFill="1" applyBorder="1" applyAlignment="1" applyProtection="1">
      <alignment horizontal="center"/>
      <protection/>
    </xf>
    <xf numFmtId="0" fontId="2" fillId="0" borderId="0" xfId="61" applyFont="1" applyFill="1" applyBorder="1" applyProtection="1">
      <alignment/>
      <protection/>
    </xf>
    <xf numFmtId="0" fontId="2" fillId="0" borderId="0" xfId="0" applyFont="1" applyFill="1" applyBorder="1" applyAlignment="1" applyProtection="1">
      <alignment vertical="center" wrapText="1"/>
      <protection/>
    </xf>
    <xf numFmtId="169" fontId="2"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166" fontId="2" fillId="0" borderId="0" xfId="0" applyNumberFormat="1" applyFont="1" applyFill="1" applyBorder="1" applyAlignment="1" applyProtection="1">
      <alignment horizontal="center" vertical="center"/>
      <protection/>
    </xf>
    <xf numFmtId="167" fontId="2"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164" fontId="2"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3" fontId="2" fillId="0" borderId="0" xfId="0" applyNumberFormat="1" applyFont="1" applyFill="1" applyBorder="1" applyAlignment="1" applyProtection="1">
      <alignment horizontal="center"/>
      <protection/>
    </xf>
    <xf numFmtId="169" fontId="2"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right"/>
      <protection/>
    </xf>
    <xf numFmtId="164" fontId="48" fillId="0" borderId="0" xfId="0" applyNumberFormat="1" applyFont="1" applyFill="1" applyBorder="1" applyAlignment="1" applyProtection="1">
      <alignment horizontal="center"/>
      <protection/>
    </xf>
    <xf numFmtId="0" fontId="48" fillId="0" borderId="0" xfId="0" applyFont="1" applyFill="1" applyBorder="1" applyAlignment="1" applyProtection="1">
      <alignment horizontal="center" vertical="center"/>
      <protection/>
    </xf>
    <xf numFmtId="169" fontId="4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wrapText="1"/>
      <protection/>
    </xf>
    <xf numFmtId="0" fontId="2" fillId="0" borderId="0" xfId="0" applyFont="1" applyFill="1" applyBorder="1" applyAlignment="1" applyProtection="1">
      <alignment horizontal="center" vertical="center" wrapText="1"/>
      <protection/>
    </xf>
    <xf numFmtId="0" fontId="0" fillId="0" borderId="0" xfId="61" applyProtection="1">
      <alignment/>
      <protection/>
    </xf>
    <xf numFmtId="0" fontId="56" fillId="0" borderId="0" xfId="61" applyFont="1" applyProtection="1">
      <alignment/>
      <protection/>
    </xf>
    <xf numFmtId="0" fontId="29" fillId="0" borderId="0" xfId="0" applyFont="1" applyAlignment="1" applyProtection="1">
      <alignment horizontal="left" vertical="top" wrapText="1" indent="1"/>
      <protection/>
    </xf>
    <xf numFmtId="0" fontId="0" fillId="0" borderId="0" xfId="61" applyFont="1" applyProtection="1">
      <alignment/>
      <protection/>
    </xf>
    <xf numFmtId="0" fontId="0" fillId="0" borderId="0" xfId="61" applyFont="1" applyAlignment="1" applyProtection="1">
      <alignment vertical="top" wrapText="1"/>
      <protection/>
    </xf>
    <xf numFmtId="0" fontId="0" fillId="0" borderId="0" xfId="61" applyFont="1" applyAlignment="1" applyProtection="1">
      <alignment horizontal="left" vertical="top" wrapText="1"/>
      <protection/>
    </xf>
    <xf numFmtId="0" fontId="0" fillId="0" borderId="0" xfId="61" applyBorder="1" applyAlignment="1" applyProtection="1">
      <alignment horizontal="left"/>
      <protection/>
    </xf>
    <xf numFmtId="0" fontId="27" fillId="0" borderId="0" xfId="61" applyFont="1" applyProtection="1">
      <alignment/>
      <protection/>
    </xf>
    <xf numFmtId="0" fontId="31" fillId="0" borderId="0" xfId="61" applyFont="1" applyProtection="1">
      <alignment/>
      <protection/>
    </xf>
    <xf numFmtId="0" fontId="0" fillId="0" borderId="0" xfId="61" applyAlignment="1" applyProtection="1">
      <alignment horizontal="left"/>
      <protection/>
    </xf>
    <xf numFmtId="0" fontId="31" fillId="0" borderId="26" xfId="61" applyFont="1" applyBorder="1" applyProtection="1">
      <alignment/>
      <protection/>
    </xf>
    <xf numFmtId="0" fontId="0" fillId="0" borderId="26" xfId="61" applyBorder="1" applyProtection="1">
      <alignment/>
      <protection/>
    </xf>
    <xf numFmtId="0" fontId="0" fillId="0" borderId="26" xfId="61" applyBorder="1" applyAlignment="1" applyProtection="1">
      <alignment horizontal="left"/>
      <protection/>
    </xf>
    <xf numFmtId="0" fontId="0" fillId="0" borderId="0" xfId="61" applyBorder="1" applyAlignment="1" applyProtection="1">
      <alignment/>
      <protection/>
    </xf>
    <xf numFmtId="0" fontId="0" fillId="20" borderId="50" xfId="61" applyFont="1" applyFill="1" applyBorder="1" applyAlignment="1" applyProtection="1">
      <alignment horizontal="left" vertical="top" wrapText="1"/>
      <protection/>
    </xf>
    <xf numFmtId="0" fontId="0" fillId="20" borderId="33" xfId="61" applyFont="1" applyFill="1" applyBorder="1" applyAlignment="1" applyProtection="1">
      <alignment horizontal="left" vertical="top" wrapText="1"/>
      <protection/>
    </xf>
    <xf numFmtId="0" fontId="0" fillId="0" borderId="0" xfId="61" applyFill="1" applyProtection="1">
      <alignment/>
      <protection/>
    </xf>
    <xf numFmtId="0" fontId="0" fillId="20" borderId="59" xfId="61" applyFont="1" applyFill="1" applyBorder="1" applyAlignment="1" applyProtection="1">
      <alignment horizontal="center" vertical="top" wrapText="1"/>
      <protection/>
    </xf>
    <xf numFmtId="0" fontId="0" fillId="20" borderId="46" xfId="61" applyFont="1" applyFill="1" applyBorder="1" applyAlignment="1" applyProtection="1">
      <alignment horizontal="center" vertical="top" wrapText="1"/>
      <protection/>
    </xf>
    <xf numFmtId="0" fontId="0" fillId="20" borderId="90" xfId="61" applyFont="1" applyFill="1" applyBorder="1" applyAlignment="1" applyProtection="1">
      <alignment horizontal="center" vertical="top" wrapText="1"/>
      <protection/>
    </xf>
    <xf numFmtId="0" fontId="37" fillId="0" borderId="0" xfId="61" applyFont="1" applyFill="1" applyBorder="1" applyAlignment="1" applyProtection="1">
      <alignment horizontal="center" vertical="center" wrapText="1"/>
      <protection/>
    </xf>
    <xf numFmtId="0" fontId="37" fillId="0" borderId="47" xfId="61" applyFont="1" applyFill="1" applyBorder="1" applyAlignment="1" applyProtection="1">
      <alignment horizontal="center" vertical="center" wrapText="1"/>
      <protection/>
    </xf>
    <xf numFmtId="0" fontId="37" fillId="0" borderId="36" xfId="61" applyFont="1" applyBorder="1" applyAlignment="1" applyProtection="1">
      <alignment horizontal="center" vertical="center"/>
      <protection/>
    </xf>
    <xf numFmtId="0" fontId="37" fillId="0" borderId="26" xfId="61" applyFont="1" applyFill="1" applyBorder="1" applyAlignment="1" applyProtection="1">
      <alignment horizontal="center" vertical="center" wrapText="1"/>
      <protection/>
    </xf>
    <xf numFmtId="0" fontId="37" fillId="0" borderId="51" xfId="61" applyFont="1" applyFill="1" applyBorder="1" applyAlignment="1" applyProtection="1">
      <alignment horizontal="center" vertical="center" wrapText="1"/>
      <protection/>
    </xf>
    <xf numFmtId="0" fontId="0" fillId="21" borderId="46" xfId="61" applyFont="1" applyFill="1" applyBorder="1" applyAlignment="1" applyProtection="1">
      <alignment horizontal="center" vertical="center" wrapText="1"/>
      <protection/>
    </xf>
    <xf numFmtId="0" fontId="37" fillId="0" borderId="47" xfId="61" applyFont="1" applyBorder="1" applyAlignment="1" applyProtection="1">
      <alignment horizontal="center"/>
      <protection/>
    </xf>
    <xf numFmtId="1" fontId="37" fillId="0" borderId="48" xfId="61" applyNumberFormat="1" applyFont="1" applyFill="1" applyBorder="1" applyAlignment="1" applyProtection="1">
      <alignment vertical="top" wrapText="1"/>
      <protection/>
    </xf>
    <xf numFmtId="1" fontId="37" fillId="0" borderId="0" xfId="61" applyNumberFormat="1" applyFont="1" applyFill="1" applyBorder="1" applyAlignment="1" applyProtection="1">
      <alignment horizontal="center" vertical="top" wrapText="1"/>
      <protection/>
    </xf>
    <xf numFmtId="0" fontId="37" fillId="0" borderId="33" xfId="61" applyFont="1" applyFill="1" applyBorder="1" applyAlignment="1" applyProtection="1">
      <alignment vertical="top" wrapText="1"/>
      <protection/>
    </xf>
    <xf numFmtId="0" fontId="37" fillId="0" borderId="48" xfId="61" applyFont="1" applyBorder="1" applyAlignment="1" applyProtection="1">
      <alignment/>
      <protection/>
    </xf>
    <xf numFmtId="1" fontId="37" fillId="0" borderId="0" xfId="61" applyNumberFormat="1" applyFont="1" applyBorder="1" applyAlignment="1" applyProtection="1">
      <alignment/>
      <protection/>
    </xf>
    <xf numFmtId="0" fontId="37" fillId="0" borderId="36" xfId="61" applyFont="1" applyBorder="1" applyAlignment="1" applyProtection="1">
      <alignment/>
      <protection/>
    </xf>
    <xf numFmtId="0" fontId="37" fillId="0" borderId="48" xfId="61" applyFont="1" applyFill="1" applyBorder="1" applyAlignment="1" applyProtection="1">
      <alignment vertical="top" wrapText="1"/>
      <protection/>
    </xf>
    <xf numFmtId="0" fontId="37" fillId="0" borderId="0" xfId="61" applyFont="1" applyFill="1" applyBorder="1" applyAlignment="1" applyProtection="1">
      <alignment horizontal="center" vertical="top" wrapText="1"/>
      <protection/>
    </xf>
    <xf numFmtId="0" fontId="37" fillId="0" borderId="0" xfId="61" applyFont="1" applyBorder="1" applyAlignment="1" applyProtection="1">
      <alignment/>
      <protection/>
    </xf>
    <xf numFmtId="0" fontId="37" fillId="0" borderId="48" xfId="61" applyFont="1" applyFill="1" applyBorder="1" applyAlignment="1" applyProtection="1">
      <alignment horizontal="left" vertical="top" wrapText="1"/>
      <protection/>
    </xf>
    <xf numFmtId="2" fontId="37" fillId="0" borderId="0" xfId="61" applyNumberFormat="1" applyFont="1" applyFill="1" applyBorder="1" applyAlignment="1" applyProtection="1">
      <alignment horizontal="center" vertical="top" wrapText="1"/>
      <protection/>
    </xf>
    <xf numFmtId="0" fontId="37" fillId="0" borderId="33" xfId="61" applyFont="1" applyFill="1" applyBorder="1" applyAlignment="1" applyProtection="1">
      <alignment horizontal="left" vertical="top" wrapText="1"/>
      <protection/>
    </xf>
    <xf numFmtId="0" fontId="37" fillId="0" borderId="48" xfId="61" applyFont="1" applyFill="1" applyBorder="1" applyAlignment="1" applyProtection="1">
      <alignment/>
      <protection/>
    </xf>
    <xf numFmtId="2" fontId="37" fillId="0" borderId="0" xfId="61" applyNumberFormat="1" applyFont="1" applyFill="1" applyBorder="1" applyAlignment="1" applyProtection="1">
      <alignment/>
      <protection/>
    </xf>
    <xf numFmtId="0" fontId="37" fillId="0" borderId="0" xfId="61" applyFont="1" applyFill="1" applyBorder="1" applyAlignment="1" applyProtection="1">
      <alignment/>
      <protection/>
    </xf>
    <xf numFmtId="0" fontId="37" fillId="0" borderId="36" xfId="61" applyFont="1" applyFill="1" applyBorder="1" applyAlignment="1" applyProtection="1">
      <alignment/>
      <protection/>
    </xf>
    <xf numFmtId="0" fontId="37" fillId="0" borderId="0" xfId="61" applyFont="1" applyFill="1" applyBorder="1" applyAlignment="1" applyProtection="1">
      <alignment horizontal="left" vertical="top" wrapText="1"/>
      <protection/>
    </xf>
    <xf numFmtId="0" fontId="37" fillId="0" borderId="49" xfId="61" applyFont="1" applyBorder="1" applyAlignment="1" applyProtection="1">
      <alignment horizontal="center"/>
      <protection/>
    </xf>
    <xf numFmtId="0" fontId="37" fillId="0" borderId="16" xfId="61" applyFont="1" applyBorder="1" applyAlignment="1" applyProtection="1">
      <alignment horizontal="center"/>
      <protection/>
    </xf>
    <xf numFmtId="0" fontId="0" fillId="0" borderId="50" xfId="61" applyFont="1" applyFill="1" applyBorder="1" applyAlignment="1" applyProtection="1">
      <alignment horizontal="left" vertical="top" wrapText="1"/>
      <protection/>
    </xf>
    <xf numFmtId="0" fontId="0" fillId="0" borderId="0" xfId="61" applyFont="1" applyFill="1" applyBorder="1" applyAlignment="1" applyProtection="1">
      <alignment horizontal="left" vertical="top" wrapText="1"/>
      <protection/>
    </xf>
    <xf numFmtId="0" fontId="37" fillId="0" borderId="51" xfId="61" applyFont="1" applyBorder="1" applyAlignment="1" applyProtection="1">
      <alignment horizontal="center"/>
      <protection/>
    </xf>
    <xf numFmtId="0" fontId="0" fillId="21" borderId="57" xfId="61" applyFont="1" applyFill="1" applyBorder="1" applyAlignment="1" applyProtection="1">
      <alignment horizontal="center" vertical="center" wrapText="1"/>
      <protection/>
    </xf>
    <xf numFmtId="0" fontId="0" fillId="21" borderId="91" xfId="61" applyFill="1" applyBorder="1" applyAlignment="1" applyProtection="1">
      <alignment horizontal="center" vertical="center"/>
      <protection/>
    </xf>
    <xf numFmtId="0" fontId="0" fillId="21" borderId="92" xfId="61" applyFont="1" applyFill="1" applyBorder="1" applyAlignment="1" applyProtection="1">
      <alignment horizontal="center" vertical="center" wrapText="1"/>
      <protection/>
    </xf>
    <xf numFmtId="0" fontId="0" fillId="21" borderId="90" xfId="61" applyFont="1" applyFill="1" applyBorder="1" applyAlignment="1" applyProtection="1">
      <alignment horizontal="center" vertical="center" wrapText="1"/>
      <protection/>
    </xf>
    <xf numFmtId="0" fontId="0" fillId="0" borderId="48" xfId="61" applyFont="1" applyFill="1" applyBorder="1" applyAlignment="1" applyProtection="1">
      <alignment horizontal="center" vertical="top" wrapText="1"/>
      <protection/>
    </xf>
    <xf numFmtId="0" fontId="37" fillId="0" borderId="48" xfId="61" applyFont="1" applyFill="1" applyBorder="1" applyAlignment="1" applyProtection="1">
      <alignment horizontal="center" vertical="top" wrapText="1"/>
      <protection/>
    </xf>
    <xf numFmtId="0" fontId="37" fillId="0" borderId="49" xfId="61" applyFont="1" applyFill="1" applyBorder="1" applyAlignment="1" applyProtection="1">
      <alignment horizontal="center" vertical="top" wrapText="1"/>
      <protection/>
    </xf>
    <xf numFmtId="1" fontId="37" fillId="0" borderId="36" xfId="61" applyNumberFormat="1" applyFont="1" applyBorder="1" applyAlignment="1" applyProtection="1">
      <alignment horizontal="center"/>
      <protection/>
    </xf>
    <xf numFmtId="0" fontId="37" fillId="0" borderId="47" xfId="61" applyFont="1" applyFill="1" applyBorder="1" applyAlignment="1" applyProtection="1">
      <alignment horizontal="center" vertical="top" wrapText="1"/>
      <protection/>
    </xf>
    <xf numFmtId="0" fontId="37" fillId="0" borderId="36" xfId="61" applyFont="1" applyBorder="1" applyAlignment="1" applyProtection="1">
      <alignment horizontal="center"/>
      <protection/>
    </xf>
    <xf numFmtId="1" fontId="37" fillId="0" borderId="48" xfId="61" applyNumberFormat="1" applyFont="1" applyFill="1" applyBorder="1" applyAlignment="1" applyProtection="1">
      <alignment horizontal="center" vertical="top" wrapText="1"/>
      <protection/>
    </xf>
    <xf numFmtId="1" fontId="37" fillId="0" borderId="47" xfId="61" applyNumberFormat="1" applyFont="1" applyFill="1" applyBorder="1" applyAlignment="1" applyProtection="1">
      <alignment horizontal="center" vertical="top" wrapText="1"/>
      <protection/>
    </xf>
    <xf numFmtId="0" fontId="37" fillId="0" borderId="63" xfId="61" applyFont="1" applyFill="1" applyBorder="1" applyAlignment="1" applyProtection="1">
      <alignment horizontal="center" vertical="top" wrapText="1"/>
      <protection/>
    </xf>
    <xf numFmtId="0" fontId="37" fillId="0" borderId="16" xfId="61" applyFont="1" applyFill="1" applyBorder="1" applyAlignment="1" applyProtection="1">
      <alignment horizontal="center" vertical="top" wrapText="1"/>
      <protection/>
    </xf>
    <xf numFmtId="0" fontId="0" fillId="0" borderId="49" xfId="61" applyFont="1" applyFill="1" applyBorder="1" applyAlignment="1" applyProtection="1">
      <alignment horizontal="center" vertical="top" wrapText="1"/>
      <protection/>
    </xf>
    <xf numFmtId="0" fontId="37" fillId="0" borderId="93" xfId="61" applyFont="1" applyFill="1" applyBorder="1" applyAlignment="1" applyProtection="1">
      <alignment horizontal="center" vertical="top" wrapText="1"/>
      <protection/>
    </xf>
    <xf numFmtId="0" fontId="37" fillId="0" borderId="62" xfId="61" applyFont="1" applyFill="1" applyBorder="1" applyAlignment="1" applyProtection="1">
      <alignment horizontal="center" vertical="top" wrapText="1"/>
      <protection/>
    </xf>
    <xf numFmtId="0" fontId="0" fillId="0" borderId="47" xfId="61" applyFont="1" applyFill="1" applyBorder="1" applyAlignment="1" applyProtection="1">
      <alignment horizontal="center" vertical="top" wrapText="1"/>
      <protection/>
    </xf>
    <xf numFmtId="0" fontId="37" fillId="0" borderId="33" xfId="61" applyFont="1" applyFill="1" applyBorder="1" applyAlignment="1" applyProtection="1">
      <alignment horizontal="center" vertical="top" wrapText="1"/>
      <protection/>
    </xf>
    <xf numFmtId="0" fontId="0" fillId="0" borderId="16" xfId="61" applyFont="1" applyFill="1" applyBorder="1" applyAlignment="1" applyProtection="1">
      <alignment horizontal="center" vertical="top" wrapText="1"/>
      <protection/>
    </xf>
    <xf numFmtId="0" fontId="37" fillId="0" borderId="54" xfId="61" applyFont="1" applyFill="1" applyBorder="1" applyAlignment="1" applyProtection="1">
      <alignment horizontal="center" vertical="top" wrapText="1"/>
      <protection/>
    </xf>
    <xf numFmtId="0" fontId="37" fillId="6" borderId="93" xfId="61" applyFont="1" applyFill="1" applyBorder="1" applyAlignment="1" applyProtection="1">
      <alignment horizontal="center" vertical="top" wrapText="1"/>
      <protection/>
    </xf>
    <xf numFmtId="0" fontId="37" fillId="6" borderId="49" xfId="61" applyFont="1" applyFill="1" applyBorder="1" applyAlignment="1" applyProtection="1">
      <alignment horizontal="center" vertical="top" wrapText="1"/>
      <protection/>
    </xf>
    <xf numFmtId="0" fontId="37" fillId="6" borderId="62" xfId="61" applyFont="1" applyFill="1" applyBorder="1" applyAlignment="1" applyProtection="1">
      <alignment horizontal="center" vertical="top" wrapText="1"/>
      <protection/>
    </xf>
    <xf numFmtId="0" fontId="37" fillId="6" borderId="36" xfId="61" applyFont="1" applyFill="1" applyBorder="1" applyAlignment="1" applyProtection="1">
      <alignment horizontal="center"/>
      <protection/>
    </xf>
    <xf numFmtId="0" fontId="37" fillId="6" borderId="63" xfId="61" applyFont="1" applyFill="1" applyBorder="1" applyAlignment="1" applyProtection="1">
      <alignment horizontal="center" vertical="top" wrapText="1"/>
      <protection/>
    </xf>
    <xf numFmtId="0" fontId="37" fillId="6" borderId="16" xfId="61" applyFont="1" applyFill="1" applyBorder="1" applyAlignment="1" applyProtection="1">
      <alignment horizontal="center" vertical="top" wrapText="1"/>
      <protection/>
    </xf>
    <xf numFmtId="0" fontId="37" fillId="6" borderId="54" xfId="61" applyFont="1" applyFill="1" applyBorder="1" applyAlignment="1" applyProtection="1">
      <alignment horizontal="center" vertical="top" wrapText="1"/>
      <protection/>
    </xf>
    <xf numFmtId="0" fontId="0" fillId="0" borderId="51" xfId="61" applyFont="1" applyFill="1" applyBorder="1" applyAlignment="1" applyProtection="1">
      <alignment horizontal="center" vertical="top" wrapText="1"/>
      <protection/>
    </xf>
    <xf numFmtId="0" fontId="37" fillId="0" borderId="94" xfId="61" applyFont="1" applyFill="1" applyBorder="1" applyAlignment="1" applyProtection="1">
      <alignment horizontal="center" vertical="top" wrapText="1"/>
      <protection/>
    </xf>
    <xf numFmtId="0" fontId="37" fillId="0" borderId="51" xfId="61" applyFont="1" applyFill="1" applyBorder="1" applyAlignment="1" applyProtection="1">
      <alignment horizontal="center" vertical="top" wrapText="1"/>
      <protection/>
    </xf>
    <xf numFmtId="0" fontId="37" fillId="0" borderId="41" xfId="61" applyFont="1" applyBorder="1" applyAlignment="1" applyProtection="1">
      <alignment horizontal="center"/>
      <protection/>
    </xf>
    <xf numFmtId="9" fontId="37" fillId="0" borderId="95" xfId="66" applyFont="1" applyBorder="1" applyAlignment="1" applyProtection="1">
      <alignment horizontal="center"/>
      <protection/>
    </xf>
    <xf numFmtId="9" fontId="37" fillId="0" borderId="44" xfId="66" applyFont="1" applyBorder="1" applyAlignment="1" applyProtection="1">
      <alignment horizontal="center"/>
      <protection/>
    </xf>
    <xf numFmtId="9" fontId="37" fillId="0" borderId="11" xfId="66" applyFont="1" applyBorder="1" applyAlignment="1" applyProtection="1">
      <alignment horizontal="center"/>
      <protection/>
    </xf>
    <xf numFmtId="9" fontId="37" fillId="0" borderId="45" xfId="66" applyFont="1" applyBorder="1" applyAlignment="1" applyProtection="1">
      <alignment horizontal="center"/>
      <protection/>
    </xf>
    <xf numFmtId="0" fontId="0" fillId="0" borderId="55" xfId="61" applyBorder="1" applyProtection="1">
      <alignment/>
      <protection/>
    </xf>
    <xf numFmtId="0" fontId="8" fillId="24" borderId="0" xfId="62" applyFont="1" applyFill="1" applyProtection="1">
      <alignment/>
      <protection/>
    </xf>
    <xf numFmtId="0" fontId="8" fillId="0" borderId="0" xfId="62" applyFont="1" applyFill="1" applyProtection="1">
      <alignment/>
      <protection/>
    </xf>
    <xf numFmtId="0" fontId="8" fillId="7" borderId="0" xfId="62" applyFont="1" applyFill="1" applyProtection="1">
      <alignment/>
      <protection/>
    </xf>
    <xf numFmtId="0" fontId="32" fillId="0" borderId="0" xfId="62" applyFont="1" applyProtection="1">
      <alignment/>
      <protection/>
    </xf>
    <xf numFmtId="0" fontId="8" fillId="0" borderId="0" xfId="62" applyFont="1" applyBorder="1" applyProtection="1">
      <alignment/>
      <protection/>
    </xf>
    <xf numFmtId="0" fontId="8" fillId="0" borderId="96" xfId="62" applyFont="1" applyFill="1" applyBorder="1" applyProtection="1">
      <alignment/>
      <protection/>
    </xf>
    <xf numFmtId="0" fontId="8" fillId="0" borderId="17" xfId="62" applyFont="1" applyFill="1" applyBorder="1" applyProtection="1">
      <alignment/>
      <protection/>
    </xf>
    <xf numFmtId="0" fontId="8" fillId="0" borderId="16" xfId="62" applyFont="1" applyFill="1" applyBorder="1" applyProtection="1">
      <alignment/>
      <protection/>
    </xf>
    <xf numFmtId="168" fontId="8" fillId="7" borderId="17" xfId="62" applyNumberFormat="1" applyFont="1" applyFill="1" applyBorder="1" applyProtection="1">
      <alignment/>
      <protection/>
    </xf>
    <xf numFmtId="0" fontId="24" fillId="0" borderId="26" xfId="62" applyFont="1" applyFill="1" applyBorder="1" applyProtection="1">
      <alignment/>
      <protection/>
    </xf>
    <xf numFmtId="0" fontId="8" fillId="0" borderId="59" xfId="62" applyFont="1" applyBorder="1" applyProtection="1">
      <alignment/>
      <protection/>
    </xf>
    <xf numFmtId="0" fontId="8" fillId="0" borderId="59" xfId="62" applyFont="1" applyFill="1" applyBorder="1" applyAlignment="1" applyProtection="1">
      <alignment horizontal="center"/>
      <protection/>
    </xf>
    <xf numFmtId="0" fontId="8" fillId="0" borderId="53" xfId="62" applyFont="1" applyFill="1" applyBorder="1" applyAlignment="1" applyProtection="1">
      <alignment horizontal="center"/>
      <protection/>
    </xf>
    <xf numFmtId="0" fontId="0" fillId="0" borderId="0" xfId="62" applyFont="1" applyFill="1" applyBorder="1" applyProtection="1">
      <alignment/>
      <protection/>
    </xf>
    <xf numFmtId="2" fontId="8" fillId="0" borderId="0" xfId="62" applyNumberFormat="1" applyFont="1" applyFill="1" applyBorder="1" applyAlignment="1" applyProtection="1">
      <alignment horizontal="center"/>
      <protection/>
    </xf>
    <xf numFmtId="0" fontId="8" fillId="0" borderId="33" xfId="62" applyFont="1" applyFill="1" applyBorder="1" applyAlignment="1" applyProtection="1">
      <alignment horizontal="center"/>
      <protection/>
    </xf>
    <xf numFmtId="0" fontId="8" fillId="0" borderId="0" xfId="62" applyFont="1" applyFill="1" applyBorder="1" applyAlignment="1" applyProtection="1">
      <alignment horizontal="center"/>
      <protection/>
    </xf>
    <xf numFmtId="2" fontId="8" fillId="0" borderId="0" xfId="62" applyNumberFormat="1" applyFont="1" applyAlignment="1" applyProtection="1">
      <alignment horizontal="center"/>
      <protection/>
    </xf>
    <xf numFmtId="2" fontId="8" fillId="0" borderId="33" xfId="62" applyNumberFormat="1" applyFont="1" applyBorder="1" applyAlignment="1" applyProtection="1">
      <alignment horizontal="center"/>
      <protection/>
    </xf>
    <xf numFmtId="0" fontId="8" fillId="0" borderId="0" xfId="62" applyFont="1" applyAlignment="1" applyProtection="1">
      <alignment horizontal="center"/>
      <protection/>
    </xf>
    <xf numFmtId="0" fontId="8" fillId="0" borderId="33" xfId="62" applyFont="1" applyBorder="1" applyAlignment="1" applyProtection="1">
      <alignment horizontal="center"/>
      <protection/>
    </xf>
    <xf numFmtId="0" fontId="0" fillId="0" borderId="97" xfId="62" applyFont="1" applyFill="1" applyBorder="1" applyProtection="1">
      <alignment/>
      <protection/>
    </xf>
    <xf numFmtId="2" fontId="8" fillId="0" borderId="97" xfId="62" applyNumberFormat="1" applyFont="1" applyFill="1" applyBorder="1" applyAlignment="1" applyProtection="1">
      <alignment horizontal="center"/>
      <protection/>
    </xf>
    <xf numFmtId="0" fontId="8" fillId="0" borderId="54" xfId="62" applyFont="1" applyFill="1" applyBorder="1" applyAlignment="1" applyProtection="1">
      <alignment horizontal="center"/>
      <protection/>
    </xf>
    <xf numFmtId="0" fontId="8" fillId="0" borderId="97" xfId="62" applyFont="1" applyFill="1" applyBorder="1" applyAlignment="1" applyProtection="1">
      <alignment horizontal="center"/>
      <protection/>
    </xf>
    <xf numFmtId="0" fontId="8" fillId="0" borderId="97" xfId="62" applyFont="1" applyBorder="1" applyAlignment="1" applyProtection="1">
      <alignment horizontal="center"/>
      <protection/>
    </xf>
    <xf numFmtId="2" fontId="8" fillId="0" borderId="54" xfId="62" applyNumberFormat="1" applyFont="1" applyBorder="1" applyAlignment="1" applyProtection="1">
      <alignment horizontal="center"/>
      <protection/>
    </xf>
    <xf numFmtId="0" fontId="8" fillId="0" borderId="54" xfId="62" applyFont="1" applyBorder="1" applyAlignment="1" applyProtection="1">
      <alignment horizontal="center"/>
      <protection/>
    </xf>
    <xf numFmtId="0" fontId="8" fillId="0" borderId="0" xfId="62" applyFont="1" applyFill="1" applyBorder="1" applyProtection="1">
      <alignment/>
      <protection/>
    </xf>
    <xf numFmtId="0" fontId="8" fillId="0" borderId="33" xfId="62" applyFont="1" applyFill="1" applyBorder="1" applyProtection="1">
      <alignment/>
      <protection/>
    </xf>
    <xf numFmtId="0" fontId="8" fillId="0" borderId="33" xfId="62" applyFont="1" applyBorder="1" applyProtection="1">
      <alignment/>
      <protection/>
    </xf>
    <xf numFmtId="2" fontId="8" fillId="0" borderId="97" xfId="62" applyNumberFormat="1" applyFont="1" applyBorder="1" applyAlignment="1" applyProtection="1">
      <alignment horizontal="center"/>
      <protection/>
    </xf>
    <xf numFmtId="0" fontId="8" fillId="6" borderId="17" xfId="62" applyFont="1" applyFill="1" applyBorder="1" applyProtection="1">
      <alignment/>
      <protection locked="0"/>
    </xf>
    <xf numFmtId="2" fontId="8" fillId="24" borderId="27" xfId="62" applyNumberFormat="1" applyFont="1" applyFill="1" applyBorder="1" applyProtection="1">
      <alignment/>
      <protection locked="0"/>
    </xf>
    <xf numFmtId="0" fontId="8" fillId="0" borderId="0" xfId="63" applyFont="1" applyBorder="1" applyProtection="1">
      <alignment/>
      <protection/>
    </xf>
    <xf numFmtId="0" fontId="24" fillId="0" borderId="0" xfId="63" applyFont="1" applyBorder="1" applyProtection="1">
      <alignment/>
      <protection/>
    </xf>
    <xf numFmtId="0" fontId="53" fillId="0" borderId="0" xfId="63" applyFont="1" applyBorder="1" applyProtection="1">
      <alignment/>
      <protection/>
    </xf>
    <xf numFmtId="0" fontId="8" fillId="0" borderId="0" xfId="63" applyFont="1" applyFill="1" applyAlignment="1" applyProtection="1">
      <alignment horizontal="center" vertical="top" wrapText="1"/>
      <protection/>
    </xf>
    <xf numFmtId="0" fontId="0" fillId="0" borderId="0" xfId="63" applyFont="1" applyFill="1" applyAlignment="1" applyProtection="1">
      <alignment horizontal="left" vertical="top"/>
      <protection/>
    </xf>
    <xf numFmtId="0" fontId="52" fillId="0" borderId="0" xfId="63" applyFont="1" applyFill="1" applyAlignment="1" applyProtection="1">
      <alignment horizontal="center" vertical="top" wrapText="1"/>
      <protection/>
    </xf>
    <xf numFmtId="0" fontId="1" fillId="0" borderId="0" xfId="63" applyProtection="1">
      <alignment/>
      <protection/>
    </xf>
    <xf numFmtId="0" fontId="39" fillId="21" borderId="96" xfId="63" applyFont="1" applyFill="1" applyBorder="1" applyProtection="1">
      <alignment/>
      <protection/>
    </xf>
    <xf numFmtId="0" fontId="0" fillId="27" borderId="0" xfId="61" applyFill="1" applyBorder="1" applyAlignment="1" applyProtection="1">
      <alignment horizontal="left" vertical="center"/>
      <protection/>
    </xf>
    <xf numFmtId="3" fontId="1" fillId="0" borderId="17" xfId="63" applyNumberFormat="1" applyFill="1" applyBorder="1" applyAlignment="1" applyProtection="1">
      <alignment horizontal="center"/>
      <protection/>
    </xf>
    <xf numFmtId="0" fontId="1" fillId="0" borderId="0" xfId="63" applyFill="1" applyProtection="1">
      <alignment/>
      <protection/>
    </xf>
    <xf numFmtId="0" fontId="39" fillId="0" borderId="0" xfId="63" applyFont="1" applyFill="1" applyBorder="1" applyProtection="1">
      <alignment/>
      <protection/>
    </xf>
    <xf numFmtId="0" fontId="1" fillId="0" borderId="0" xfId="63" applyFill="1" applyBorder="1" applyAlignment="1" applyProtection="1">
      <alignment horizontal="center"/>
      <protection/>
    </xf>
    <xf numFmtId="0" fontId="39" fillId="21" borderId="17" xfId="63" applyFont="1" applyFill="1" applyBorder="1" applyProtection="1">
      <alignment/>
      <protection/>
    </xf>
    <xf numFmtId="0" fontId="39" fillId="21" borderId="17" xfId="61" applyFont="1" applyFill="1" applyBorder="1" applyAlignment="1" applyProtection="1">
      <alignment horizontal="center"/>
      <protection/>
    </xf>
    <xf numFmtId="0" fontId="39" fillId="21" borderId="98" xfId="63" applyFont="1" applyFill="1" applyBorder="1" applyAlignment="1" applyProtection="1">
      <alignment horizontal="center"/>
      <protection/>
    </xf>
    <xf numFmtId="0" fontId="1" fillId="20" borderId="17" xfId="63" applyFill="1" applyBorder="1" applyAlignment="1" applyProtection="1">
      <alignment horizontal="left"/>
      <protection/>
    </xf>
    <xf numFmtId="0" fontId="1" fillId="0" borderId="0" xfId="63" applyAlignment="1" applyProtection="1">
      <alignment horizontal="center"/>
      <protection/>
    </xf>
    <xf numFmtId="166" fontId="0" fillId="27" borderId="17" xfId="61" applyNumberFormat="1" applyFill="1" applyBorder="1" applyAlignment="1" applyProtection="1">
      <alignment horizontal="center"/>
      <protection/>
    </xf>
    <xf numFmtId="37" fontId="1" fillId="27" borderId="98" xfId="42" applyNumberFormat="1" applyFont="1" applyFill="1" applyBorder="1" applyAlignment="1" applyProtection="1">
      <alignment horizontal="center"/>
      <protection/>
    </xf>
    <xf numFmtId="0" fontId="1" fillId="20" borderId="96" xfId="63" applyFill="1" applyBorder="1" applyAlignment="1" applyProtection="1">
      <alignment horizontal="left"/>
      <protection/>
    </xf>
    <xf numFmtId="166" fontId="0" fillId="27" borderId="98" xfId="61" applyNumberFormat="1" applyFill="1" applyBorder="1" applyAlignment="1" applyProtection="1">
      <alignment horizontal="center"/>
      <protection/>
    </xf>
    <xf numFmtId="0" fontId="39" fillId="21" borderId="17" xfId="63" applyFont="1" applyFill="1" applyBorder="1" applyAlignment="1" applyProtection="1">
      <alignment horizontal="left"/>
      <protection/>
    </xf>
    <xf numFmtId="37" fontId="39" fillId="27" borderId="17" xfId="42" applyNumberFormat="1" applyFont="1" applyFill="1" applyBorder="1" applyAlignment="1" applyProtection="1">
      <alignment horizontal="center"/>
      <protection/>
    </xf>
    <xf numFmtId="0" fontId="1" fillId="0" borderId="0" xfId="63" applyFill="1" applyBorder="1" applyAlignment="1" applyProtection="1">
      <alignment horizontal="left"/>
      <protection/>
    </xf>
    <xf numFmtId="0" fontId="39" fillId="21" borderId="49" xfId="63" applyFont="1" applyFill="1" applyBorder="1" applyAlignment="1" applyProtection="1">
      <alignment horizontal="center"/>
      <protection/>
    </xf>
    <xf numFmtId="0" fontId="39" fillId="21" borderId="17" xfId="63" applyFont="1" applyFill="1" applyBorder="1" applyAlignment="1" applyProtection="1">
      <alignment horizontal="center"/>
      <protection/>
    </xf>
    <xf numFmtId="0" fontId="1" fillId="20" borderId="17" xfId="63" applyFill="1" applyBorder="1" applyProtection="1">
      <alignment/>
      <protection/>
    </xf>
    <xf numFmtId="37" fontId="1" fillId="27" borderId="17" xfId="42" applyNumberFormat="1" applyFont="1" applyFill="1" applyBorder="1" applyAlignment="1" applyProtection="1">
      <alignment horizontal="center"/>
      <protection/>
    </xf>
    <xf numFmtId="7" fontId="1" fillId="27" borderId="17" xfId="46" applyNumberFormat="1" applyFont="1" applyFill="1" applyBorder="1" applyAlignment="1" applyProtection="1">
      <alignment horizontal="center"/>
      <protection/>
    </xf>
    <xf numFmtId="37" fontId="39" fillId="27" borderId="17" xfId="45" applyNumberFormat="1" applyFont="1" applyFill="1" applyBorder="1" applyAlignment="1" applyProtection="1">
      <alignment horizontal="center"/>
      <protection/>
    </xf>
    <xf numFmtId="7" fontId="39" fillId="27" borderId="17" xfId="46" applyNumberFormat="1" applyFont="1" applyFill="1" applyBorder="1" applyAlignment="1" applyProtection="1">
      <alignment horizontal="center"/>
      <protection/>
    </xf>
    <xf numFmtId="0" fontId="1" fillId="24" borderId="27" xfId="63" applyFill="1" applyBorder="1" applyAlignment="1" applyProtection="1">
      <alignment horizontal="center"/>
      <protection locked="0"/>
    </xf>
    <xf numFmtId="166" fontId="1" fillId="24" borderId="27" xfId="63" applyNumberFormat="1" applyFill="1" applyBorder="1" applyAlignment="1" applyProtection="1">
      <alignment horizontal="center"/>
      <protection locked="0"/>
    </xf>
    <xf numFmtId="0" fontId="1" fillId="24" borderId="27" xfId="63" applyFont="1" applyFill="1" applyBorder="1" applyAlignment="1" applyProtection="1">
      <alignment horizontal="center"/>
      <protection locked="0"/>
    </xf>
    <xf numFmtId="7" fontId="1" fillId="6" borderId="17" xfId="46" applyNumberFormat="1" applyFont="1" applyFill="1" applyBorder="1" applyAlignment="1" applyProtection="1">
      <alignment horizontal="center"/>
      <protection locked="0"/>
    </xf>
    <xf numFmtId="0" fontId="0" fillId="24" borderId="0" xfId="0" applyFill="1" applyAlignment="1" applyProtection="1">
      <alignment/>
      <protection locked="0"/>
    </xf>
    <xf numFmtId="0" fontId="0" fillId="24" borderId="17" xfId="0" applyFill="1" applyBorder="1" applyAlignment="1" applyProtection="1">
      <alignment/>
      <protection locked="0"/>
    </xf>
    <xf numFmtId="0" fontId="0" fillId="24" borderId="27" xfId="0" applyFill="1" applyBorder="1" applyAlignment="1" applyProtection="1">
      <alignment horizontal="right"/>
      <protection locked="0"/>
    </xf>
    <xf numFmtId="0" fontId="0" fillId="24" borderId="29" xfId="0" applyFill="1" applyBorder="1" applyAlignment="1" applyProtection="1">
      <alignment/>
      <protection locked="0"/>
    </xf>
    <xf numFmtId="0" fontId="0" fillId="24" borderId="27" xfId="0" applyFill="1" applyBorder="1" applyAlignment="1" applyProtection="1">
      <alignment horizontal="center"/>
      <protection locked="0"/>
    </xf>
    <xf numFmtId="0" fontId="32" fillId="0" borderId="0" xfId="0" applyFont="1" applyAlignment="1" applyProtection="1">
      <alignment/>
      <protection/>
    </xf>
    <xf numFmtId="0" fontId="0" fillId="24" borderId="0" xfId="0" applyFill="1" applyAlignment="1" applyProtection="1">
      <alignment/>
      <protection/>
    </xf>
    <xf numFmtId="0" fontId="0" fillId="7" borderId="0" xfId="0" applyFont="1" applyFill="1" applyAlignment="1" applyProtection="1">
      <alignment/>
      <protection/>
    </xf>
    <xf numFmtId="0" fontId="0" fillId="7" borderId="0" xfId="0" applyFill="1" applyAlignment="1" applyProtection="1">
      <alignment/>
      <protection/>
    </xf>
    <xf numFmtId="0" fontId="27" fillId="0" borderId="17" xfId="0" applyFont="1" applyBorder="1" applyAlignment="1" applyProtection="1">
      <alignment/>
      <protection/>
    </xf>
    <xf numFmtId="0" fontId="39" fillId="0" borderId="49" xfId="0" applyFont="1" applyBorder="1" applyAlignment="1" applyProtection="1">
      <alignment horizontal="center"/>
      <protection/>
    </xf>
    <xf numFmtId="166" fontId="0" fillId="0" borderId="17" xfId="0" applyNumberFormat="1" applyFill="1" applyBorder="1" applyAlignment="1" applyProtection="1">
      <alignment/>
      <protection/>
    </xf>
    <xf numFmtId="166" fontId="0" fillId="0" borderId="17" xfId="0" applyNumberFormat="1" applyBorder="1" applyAlignment="1" applyProtection="1">
      <alignment/>
      <protection/>
    </xf>
    <xf numFmtId="0" fontId="0" fillId="0" borderId="17" xfId="0" applyBorder="1" applyAlignment="1" applyProtection="1">
      <alignment/>
      <protection/>
    </xf>
    <xf numFmtId="0" fontId="27" fillId="0" borderId="96" xfId="0" applyFont="1" applyBorder="1" applyAlignment="1" applyProtection="1">
      <alignment/>
      <protection/>
    </xf>
    <xf numFmtId="0" fontId="0" fillId="0" borderId="98" xfId="0" applyBorder="1" applyAlignment="1" applyProtection="1">
      <alignment/>
      <protection/>
    </xf>
    <xf numFmtId="1" fontId="0" fillId="0" borderId="0" xfId="0" applyNumberFormat="1" applyAlignment="1" applyProtection="1">
      <alignment/>
      <protection/>
    </xf>
    <xf numFmtId="0" fontId="27" fillId="0" borderId="17" xfId="0" applyFont="1" applyFill="1" applyBorder="1" applyAlignment="1" applyProtection="1">
      <alignment/>
      <protection/>
    </xf>
    <xf numFmtId="1" fontId="0" fillId="0" borderId="16" xfId="0" applyNumberFormat="1" applyBorder="1" applyAlignment="1" applyProtection="1">
      <alignment/>
      <protection/>
    </xf>
    <xf numFmtId="0" fontId="40" fillId="0" borderId="0" xfId="0" applyFont="1" applyAlignment="1" applyProtection="1">
      <alignment/>
      <protection/>
    </xf>
    <xf numFmtId="0" fontId="32" fillId="0" borderId="0" xfId="0" applyFont="1" applyAlignment="1" applyProtection="1">
      <alignment/>
      <protection/>
    </xf>
    <xf numFmtId="170" fontId="8" fillId="0" borderId="17" xfId="42" applyNumberFormat="1" applyFont="1" applyFill="1" applyBorder="1" applyAlignment="1" applyProtection="1">
      <alignment/>
      <protection/>
    </xf>
    <xf numFmtId="170" fontId="8" fillId="0" borderId="17" xfId="42" applyNumberFormat="1" applyFont="1" applyBorder="1" applyAlignment="1" applyProtection="1">
      <alignment/>
      <protection/>
    </xf>
    <xf numFmtId="43" fontId="40" fillId="0" borderId="0" xfId="0" applyNumberFormat="1" applyFont="1" applyAlignment="1" applyProtection="1">
      <alignment/>
      <protection/>
    </xf>
    <xf numFmtId="170" fontId="0" fillId="0" borderId="0" xfId="42" applyNumberFormat="1" applyFont="1" applyAlignment="1" applyProtection="1">
      <alignment/>
      <protection/>
    </xf>
    <xf numFmtId="171" fontId="8" fillId="7" borderId="17" xfId="42" applyNumberFormat="1" applyFont="1" applyFill="1" applyBorder="1" applyAlignment="1" applyProtection="1">
      <alignment/>
      <protection/>
    </xf>
    <xf numFmtId="0" fontId="27" fillId="7" borderId="17" xfId="0" applyFont="1" applyFill="1" applyBorder="1" applyAlignment="1" applyProtection="1">
      <alignment/>
      <protection/>
    </xf>
    <xf numFmtId="0" fontId="0" fillId="0" borderId="96" xfId="0" applyFont="1" applyBorder="1" applyAlignment="1" applyProtection="1">
      <alignment/>
      <protection/>
    </xf>
    <xf numFmtId="0" fontId="0" fillId="0" borderId="98" xfId="0" applyBorder="1" applyAlignment="1" applyProtection="1">
      <alignment/>
      <protection/>
    </xf>
    <xf numFmtId="0" fontId="0" fillId="7" borderId="17" xfId="0" applyFill="1" applyBorder="1" applyAlignment="1" applyProtection="1">
      <alignment/>
      <protection/>
    </xf>
    <xf numFmtId="43" fontId="0" fillId="0" borderId="17" xfId="0" applyNumberFormat="1" applyBorder="1" applyAlignment="1" applyProtection="1">
      <alignment/>
      <protection/>
    </xf>
    <xf numFmtId="0" fontId="0" fillId="0" borderId="0" xfId="0" applyFill="1" applyBorder="1" applyAlignment="1" applyProtection="1">
      <alignment/>
      <protection/>
    </xf>
    <xf numFmtId="0" fontId="0" fillId="0" borderId="48" xfId="0" applyBorder="1" applyAlignment="1" applyProtection="1">
      <alignment/>
      <protection/>
    </xf>
    <xf numFmtId="0" fontId="0" fillId="0" borderId="26" xfId="0" applyFill="1" applyBorder="1" applyAlignment="1" applyProtection="1">
      <alignment/>
      <protection/>
    </xf>
    <xf numFmtId="0" fontId="0" fillId="0" borderId="0" xfId="0" applyFill="1" applyAlignment="1" applyProtection="1">
      <alignment/>
      <protection/>
    </xf>
    <xf numFmtId="166" fontId="0" fillId="0" borderId="27" xfId="0" applyNumberFormat="1" applyBorder="1" applyAlignment="1" applyProtection="1">
      <alignment/>
      <protection/>
    </xf>
    <xf numFmtId="0" fontId="0" fillId="0" borderId="27" xfId="0" applyFill="1" applyBorder="1" applyAlignment="1" applyProtection="1">
      <alignment/>
      <protection/>
    </xf>
    <xf numFmtId="166" fontId="0" fillId="7" borderId="27" xfId="0" applyNumberFormat="1" applyFill="1" applyBorder="1" applyAlignment="1" applyProtection="1">
      <alignment/>
      <protection/>
    </xf>
    <xf numFmtId="170" fontId="0" fillId="0" borderId="17" xfId="0" applyNumberFormat="1" applyFill="1" applyBorder="1" applyAlignment="1" applyProtection="1">
      <alignment/>
      <protection/>
    </xf>
    <xf numFmtId="0" fontId="0" fillId="0" borderId="49" xfId="0" applyBorder="1" applyAlignment="1" applyProtection="1">
      <alignment/>
      <protection/>
    </xf>
    <xf numFmtId="0" fontId="42" fillId="0" borderId="49" xfId="0" applyFont="1" applyBorder="1" applyAlignment="1" applyProtection="1">
      <alignment/>
      <protection/>
    </xf>
    <xf numFmtId="0" fontId="42" fillId="0" borderId="49" xfId="0" applyFont="1" applyFill="1" applyBorder="1" applyAlignment="1" applyProtection="1">
      <alignment/>
      <protection/>
    </xf>
    <xf numFmtId="0" fontId="43" fillId="0" borderId="96" xfId="0" applyFont="1" applyBorder="1" applyAlignment="1" applyProtection="1">
      <alignment vertical="top" wrapText="1"/>
      <protection/>
    </xf>
    <xf numFmtId="0" fontId="41" fillId="0" borderId="17" xfId="0" applyFont="1" applyFill="1" applyBorder="1" applyAlignment="1" applyProtection="1">
      <alignment vertical="top" wrapText="1"/>
      <protection/>
    </xf>
    <xf numFmtId="1" fontId="41" fillId="0" borderId="17" xfId="0" applyNumberFormat="1" applyFont="1" applyFill="1" applyBorder="1" applyAlignment="1" applyProtection="1">
      <alignment vertical="top" wrapText="1"/>
      <protection/>
    </xf>
    <xf numFmtId="0" fontId="43" fillId="0" borderId="17" xfId="0" applyFont="1" applyBorder="1" applyAlignment="1" applyProtection="1">
      <alignment vertical="top" wrapText="1"/>
      <protection/>
    </xf>
    <xf numFmtId="0" fontId="41" fillId="0" borderId="16" xfId="0" applyFont="1" applyBorder="1" applyAlignment="1" applyProtection="1">
      <alignment vertical="top" wrapText="1"/>
      <protection/>
    </xf>
    <xf numFmtId="1" fontId="41" fillId="0" borderId="16" xfId="0" applyNumberFormat="1" applyFont="1" applyBorder="1" applyAlignment="1" applyProtection="1">
      <alignment vertical="top" wrapText="1"/>
      <protection/>
    </xf>
    <xf numFmtId="0" fontId="0" fillId="0" borderId="17" xfId="0" applyFill="1" applyBorder="1" applyAlignment="1" applyProtection="1">
      <alignment/>
      <protection/>
    </xf>
    <xf numFmtId="0" fontId="42" fillId="7" borderId="17" xfId="0" applyFont="1" applyFill="1" applyBorder="1" applyAlignment="1" applyProtection="1">
      <alignment vertical="top" wrapText="1"/>
      <protection/>
    </xf>
    <xf numFmtId="168" fontId="41" fillId="7" borderId="17" xfId="0" applyNumberFormat="1" applyFont="1" applyFill="1" applyBorder="1" applyAlignment="1" applyProtection="1">
      <alignment vertical="top" wrapText="1"/>
      <protection/>
    </xf>
    <xf numFmtId="0" fontId="0" fillId="0" borderId="17" xfId="0" applyFont="1" applyFill="1" applyBorder="1" applyAlignment="1" applyProtection="1">
      <alignment/>
      <protection/>
    </xf>
    <xf numFmtId="166" fontId="0" fillId="7" borderId="17" xfId="0" applyNumberFormat="1" applyFill="1" applyBorder="1" applyAlignment="1" applyProtection="1">
      <alignment horizontal="center"/>
      <protection/>
    </xf>
    <xf numFmtId="0" fontId="46" fillId="0" borderId="0" xfId="0" applyFont="1" applyFill="1" applyAlignment="1" applyProtection="1">
      <alignment horizontal="right"/>
      <protection/>
    </xf>
    <xf numFmtId="0" fontId="46" fillId="0" borderId="0" xfId="0" applyFont="1" applyFill="1" applyAlignment="1" applyProtection="1">
      <alignment/>
      <protection/>
    </xf>
    <xf numFmtId="0" fontId="41" fillId="0" borderId="17" xfId="0" applyFont="1" applyBorder="1" applyAlignment="1" applyProtection="1">
      <alignment vertical="top" wrapText="1"/>
      <protection/>
    </xf>
    <xf numFmtId="166" fontId="0" fillId="0" borderId="17" xfId="0" applyNumberFormat="1" applyFill="1" applyBorder="1" applyAlignment="1" applyProtection="1">
      <alignment horizontal="center"/>
      <protection/>
    </xf>
    <xf numFmtId="0" fontId="0" fillId="0" borderId="0" xfId="0" applyFont="1" applyFill="1" applyBorder="1" applyAlignment="1" applyProtection="1">
      <alignment/>
      <protection/>
    </xf>
    <xf numFmtId="166" fontId="46" fillId="0" borderId="0" xfId="0" applyNumberFormat="1" applyFont="1" applyFill="1" applyAlignment="1" applyProtection="1">
      <alignment/>
      <protection/>
    </xf>
    <xf numFmtId="0" fontId="46" fillId="0" borderId="0" xfId="0" applyFont="1" applyAlignment="1" applyProtection="1">
      <alignment/>
      <protection/>
    </xf>
    <xf numFmtId="0" fontId="43" fillId="0" borderId="17" xfId="0" applyFont="1" applyFill="1" applyBorder="1" applyAlignment="1" applyProtection="1">
      <alignment vertical="top" wrapText="1"/>
      <protection/>
    </xf>
    <xf numFmtId="0" fontId="41" fillId="0" borderId="17" xfId="0" applyFont="1" applyBorder="1" applyAlignment="1" applyProtection="1">
      <alignment/>
      <protection/>
    </xf>
    <xf numFmtId="0" fontId="36" fillId="0" borderId="0" xfId="0" applyFont="1" applyAlignment="1" applyProtection="1">
      <alignment/>
      <protection/>
    </xf>
    <xf numFmtId="0" fontId="36" fillId="0" borderId="0" xfId="0" applyFont="1" applyFill="1" applyAlignment="1" applyProtection="1">
      <alignment/>
      <protection/>
    </xf>
    <xf numFmtId="0" fontId="0" fillId="0" borderId="39" xfId="0" applyFill="1" applyBorder="1" applyAlignment="1" applyProtection="1">
      <alignment/>
      <protection/>
    </xf>
    <xf numFmtId="1" fontId="41" fillId="0" borderId="17" xfId="0" applyNumberFormat="1" applyFont="1" applyBorder="1" applyAlignment="1" applyProtection="1">
      <alignment vertical="top" wrapText="1"/>
      <protection/>
    </xf>
    <xf numFmtId="2" fontId="0" fillId="7" borderId="17" xfId="0" applyNumberFormat="1" applyFill="1" applyBorder="1" applyAlignment="1" applyProtection="1">
      <alignment horizontal="center"/>
      <protection/>
    </xf>
    <xf numFmtId="0" fontId="0" fillId="0" borderId="96" xfId="0" applyFill="1" applyBorder="1" applyAlignment="1" applyProtection="1">
      <alignment/>
      <protection/>
    </xf>
    <xf numFmtId="0" fontId="46" fillId="0" borderId="0" xfId="0" applyFont="1" applyFill="1" applyAlignment="1" applyProtection="1">
      <alignment/>
      <protection/>
    </xf>
    <xf numFmtId="166" fontId="0" fillId="0" borderId="39" xfId="0" applyNumberFormat="1" applyFill="1" applyBorder="1" applyAlignment="1" applyProtection="1">
      <alignment/>
      <protection/>
    </xf>
    <xf numFmtId="0" fontId="38" fillId="0" borderId="0" xfId="0" applyFont="1" applyFill="1" applyAlignment="1" applyProtection="1">
      <alignment/>
      <protection/>
    </xf>
    <xf numFmtId="2" fontId="41" fillId="7" borderId="17" xfId="0" applyNumberFormat="1" applyFont="1" applyFill="1" applyBorder="1" applyAlignment="1" applyProtection="1">
      <alignment vertical="top" wrapText="1"/>
      <protection/>
    </xf>
    <xf numFmtId="0" fontId="45" fillId="7" borderId="17" xfId="0" applyFont="1" applyFill="1" applyBorder="1" applyAlignment="1" applyProtection="1">
      <alignment vertical="top" wrapText="1"/>
      <protection/>
    </xf>
    <xf numFmtId="170" fontId="41" fillId="7" borderId="17" xfId="42" applyNumberFormat="1" applyFont="1" applyFill="1" applyBorder="1" applyAlignment="1" applyProtection="1">
      <alignment vertical="top" wrapText="1"/>
      <protection/>
    </xf>
    <xf numFmtId="0" fontId="32" fillId="0" borderId="0" xfId="0" applyFont="1" applyFill="1" applyAlignment="1" applyProtection="1">
      <alignment/>
      <protection/>
    </xf>
    <xf numFmtId="0" fontId="43" fillId="0" borderId="17" xfId="0" applyFont="1" applyBorder="1" applyAlignment="1" applyProtection="1">
      <alignment/>
      <protection/>
    </xf>
    <xf numFmtId="2" fontId="41" fillId="0" borderId="17" xfId="0" applyNumberFormat="1" applyFont="1" applyBorder="1" applyAlignment="1" applyProtection="1">
      <alignment/>
      <protection/>
    </xf>
    <xf numFmtId="2" fontId="41" fillId="7" borderId="17" xfId="0" applyNumberFormat="1" applyFont="1" applyFill="1" applyBorder="1" applyAlignment="1" applyProtection="1">
      <alignment/>
      <protection/>
    </xf>
    <xf numFmtId="0" fontId="0" fillId="0" borderId="0" xfId="0" applyFont="1" applyFill="1" applyAlignment="1" applyProtection="1">
      <alignment/>
      <protection/>
    </xf>
    <xf numFmtId="0" fontId="41" fillId="7" borderId="17" xfId="0" applyFont="1" applyFill="1" applyBorder="1" applyAlignment="1" applyProtection="1">
      <alignment/>
      <protection/>
    </xf>
    <xf numFmtId="0" fontId="0" fillId="0" borderId="0" xfId="0" applyFont="1" applyAlignment="1" applyProtection="1">
      <alignment horizontal="right"/>
      <protection/>
    </xf>
    <xf numFmtId="166" fontId="41" fillId="7" borderId="17" xfId="0" applyNumberFormat="1" applyFont="1" applyFill="1" applyBorder="1" applyAlignment="1" applyProtection="1">
      <alignment/>
      <protection/>
    </xf>
    <xf numFmtId="0" fontId="0" fillId="7" borderId="17" xfId="0" applyFont="1" applyFill="1" applyBorder="1" applyAlignment="1" applyProtection="1">
      <alignment/>
      <protection/>
    </xf>
    <xf numFmtId="0" fontId="39" fillId="0" borderId="17" xfId="0" applyFont="1" applyBorder="1" applyAlignment="1" applyProtection="1">
      <alignment/>
      <protection/>
    </xf>
    <xf numFmtId="0" fontId="39" fillId="7" borderId="17" xfId="0" applyFont="1" applyFill="1" applyBorder="1" applyAlignment="1" applyProtection="1">
      <alignment wrapText="1"/>
      <protection/>
    </xf>
    <xf numFmtId="0" fontId="0" fillId="24" borderId="39" xfId="0" applyFill="1" applyBorder="1" applyAlignment="1" applyProtection="1">
      <alignment/>
      <protection locked="0"/>
    </xf>
    <xf numFmtId="0" fontId="27" fillId="0" borderId="0" xfId="0" applyFont="1" applyFill="1" applyAlignment="1" applyProtection="1">
      <alignment/>
      <protection/>
    </xf>
    <xf numFmtId="0" fontId="0" fillId="0" borderId="0" xfId="0" applyAlignment="1" applyProtection="1">
      <alignment vertical="top"/>
      <protection/>
    </xf>
    <xf numFmtId="0" fontId="0" fillId="0" borderId="0" xfId="0" applyFill="1" applyAlignment="1" applyProtection="1">
      <alignment vertical="top"/>
      <protection/>
    </xf>
    <xf numFmtId="0" fontId="40" fillId="0" borderId="0" xfId="0" applyFont="1" applyFill="1" applyBorder="1" applyAlignment="1" applyProtection="1">
      <alignment/>
      <protection/>
    </xf>
    <xf numFmtId="0" fontId="0" fillId="0" borderId="0" xfId="0" applyAlignment="1" applyProtection="1">
      <alignment horizontal="right"/>
      <protection/>
    </xf>
    <xf numFmtId="0" fontId="0" fillId="27" borderId="0" xfId="0" applyFill="1" applyAlignment="1" applyProtection="1">
      <alignment/>
      <protection/>
    </xf>
    <xf numFmtId="0" fontId="0" fillId="0" borderId="0" xfId="0" applyAlignment="1" applyProtection="1">
      <alignment horizontal="center"/>
      <protection/>
    </xf>
    <xf numFmtId="168" fontId="0" fillId="7" borderId="0" xfId="0" applyNumberFormat="1" applyFill="1" applyAlignment="1" applyProtection="1">
      <alignment horizontal="center"/>
      <protection/>
    </xf>
    <xf numFmtId="0" fontId="30" fillId="0" borderId="0" xfId="0" applyFont="1" applyBorder="1" applyAlignment="1" applyProtection="1">
      <alignment horizontal="left"/>
      <protection/>
    </xf>
    <xf numFmtId="0" fontId="27" fillId="0" borderId="49" xfId="0" applyFont="1" applyBorder="1" applyAlignment="1" applyProtection="1">
      <alignment wrapText="1"/>
      <protection/>
    </xf>
    <xf numFmtId="0" fontId="27" fillId="0" borderId="17" xfId="0" applyFont="1" applyBorder="1" applyAlignment="1" applyProtection="1">
      <alignment wrapText="1"/>
      <protection/>
    </xf>
    <xf numFmtId="0" fontId="0" fillId="0" borderId="0" xfId="0" applyAlignment="1" applyProtection="1">
      <alignment wrapText="1"/>
      <protection/>
    </xf>
    <xf numFmtId="167" fontId="0" fillId="0" borderId="98" xfId="0" applyNumberFormat="1" applyFill="1" applyBorder="1" applyAlignment="1" applyProtection="1">
      <alignment/>
      <protection/>
    </xf>
    <xf numFmtId="167" fontId="0" fillId="0" borderId="17" xfId="0" applyNumberFormat="1" applyFill="1" applyBorder="1" applyAlignment="1" applyProtection="1">
      <alignment/>
      <protection/>
    </xf>
    <xf numFmtId="167" fontId="0" fillId="0" borderId="17" xfId="0" applyNumberFormat="1" applyFill="1" applyBorder="1" applyAlignment="1" applyProtection="1">
      <alignment horizontal="center"/>
      <protection/>
    </xf>
    <xf numFmtId="0" fontId="0" fillId="0" borderId="99" xfId="0" applyBorder="1" applyAlignment="1" applyProtection="1">
      <alignment/>
      <protection/>
    </xf>
    <xf numFmtId="0" fontId="0" fillId="0" borderId="89" xfId="0" applyBorder="1" applyAlignment="1" applyProtection="1">
      <alignment/>
      <protection/>
    </xf>
    <xf numFmtId="0" fontId="27" fillId="0" borderId="48" xfId="0" applyFont="1" applyBorder="1" applyAlignment="1" applyProtection="1">
      <alignment horizontal="centerContinuous"/>
      <protection/>
    </xf>
    <xf numFmtId="0" fontId="0" fillId="0" borderId="0" xfId="0" applyBorder="1" applyAlignment="1" applyProtection="1">
      <alignment horizontal="centerContinuous"/>
      <protection/>
    </xf>
    <xf numFmtId="0" fontId="0" fillId="0" borderId="0" xfId="0" applyBorder="1" applyAlignment="1" applyProtection="1">
      <alignment/>
      <protection/>
    </xf>
    <xf numFmtId="167" fontId="0" fillId="0" borderId="27" xfId="0" applyNumberFormat="1" applyFont="1" applyFill="1" applyBorder="1" applyAlignment="1" applyProtection="1">
      <alignment/>
      <protection/>
    </xf>
    <xf numFmtId="0" fontId="32" fillId="0" borderId="50" xfId="0" applyFont="1" applyFill="1" applyBorder="1" applyAlignment="1" applyProtection="1">
      <alignment/>
      <protection/>
    </xf>
    <xf numFmtId="0" fontId="0" fillId="0" borderId="0" xfId="0" applyFont="1" applyBorder="1" applyAlignment="1" applyProtection="1">
      <alignment/>
      <protection/>
    </xf>
    <xf numFmtId="166" fontId="0" fillId="0" borderId="17" xfId="0" applyNumberFormat="1" applyFill="1" applyBorder="1" applyAlignment="1" applyProtection="1">
      <alignment horizontal="right"/>
      <protection/>
    </xf>
    <xf numFmtId="166" fontId="0" fillId="7" borderId="17" xfId="0" applyNumberFormat="1" applyFill="1" applyBorder="1" applyAlignment="1" applyProtection="1">
      <alignment horizontal="right"/>
      <protection/>
    </xf>
    <xf numFmtId="166" fontId="0" fillId="7" borderId="17" xfId="0" applyNumberFormat="1" applyFill="1" applyBorder="1" applyAlignment="1" applyProtection="1">
      <alignment/>
      <protection/>
    </xf>
    <xf numFmtId="167" fontId="0" fillId="24" borderId="27" xfId="0" applyNumberFormat="1" applyFill="1" applyBorder="1" applyAlignment="1" applyProtection="1">
      <alignment/>
      <protection locked="0"/>
    </xf>
    <xf numFmtId="0" fontId="7" fillId="0" borderId="0" xfId="0" applyFont="1" applyAlignment="1" applyProtection="1">
      <alignment horizontal="left"/>
      <protection/>
    </xf>
    <xf numFmtId="0" fontId="7" fillId="0" borderId="0" xfId="0" applyFont="1" applyAlignment="1" applyProtection="1">
      <alignment/>
      <protection/>
    </xf>
    <xf numFmtId="0" fontId="0" fillId="0" borderId="17" xfId="0" applyFont="1" applyBorder="1" applyAlignment="1" applyProtection="1">
      <alignment/>
      <protection/>
    </xf>
    <xf numFmtId="0" fontId="0" fillId="0" borderId="33" xfId="0" applyFont="1" applyFill="1" applyBorder="1" applyAlignment="1" applyProtection="1">
      <alignment/>
      <protection/>
    </xf>
    <xf numFmtId="0" fontId="0" fillId="0" borderId="0" xfId="0" applyFill="1" applyAlignment="1" applyProtection="1">
      <alignment horizontal="center"/>
      <protection/>
    </xf>
    <xf numFmtId="0" fontId="0" fillId="0" borderId="97" xfId="0" applyBorder="1" applyAlignment="1" applyProtection="1">
      <alignment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7" xfId="0" applyBorder="1" applyAlignment="1" applyProtection="1">
      <alignment horizontal="center"/>
      <protection/>
    </xf>
    <xf numFmtId="0" fontId="0" fillId="0" borderId="17" xfId="0" applyBorder="1" applyAlignment="1" applyProtection="1">
      <alignment horizontal="center" vertical="center" wrapText="1"/>
      <protection/>
    </xf>
    <xf numFmtId="2" fontId="0" fillId="7" borderId="17" xfId="0" applyNumberFormat="1" applyFill="1" applyBorder="1" applyAlignment="1" applyProtection="1">
      <alignment horizontal="center" vertical="center" wrapText="1"/>
      <protection/>
    </xf>
    <xf numFmtId="0" fontId="0" fillId="7" borderId="17" xfId="0" applyFill="1" applyBorder="1" applyAlignment="1" applyProtection="1">
      <alignment horizontal="center" vertical="center"/>
      <protection/>
    </xf>
    <xf numFmtId="1" fontId="0" fillId="0" borderId="17" xfId="0" applyNumberFormat="1" applyFont="1" applyBorder="1" applyAlignment="1" applyProtection="1">
      <alignment horizontal="center"/>
      <protection/>
    </xf>
    <xf numFmtId="0" fontId="0" fillId="0" borderId="17" xfId="0" applyFont="1" applyBorder="1" applyAlignment="1" applyProtection="1">
      <alignment horizontal="center"/>
      <protection/>
    </xf>
    <xf numFmtId="0" fontId="0" fillId="24" borderId="17" xfId="0" applyFill="1" applyBorder="1" applyAlignment="1" applyProtection="1">
      <alignment horizontal="center"/>
      <protection locked="0"/>
    </xf>
    <xf numFmtId="0" fontId="27" fillId="24" borderId="17" xfId="0" applyFont="1" applyFill="1" applyBorder="1" applyAlignment="1" applyProtection="1">
      <alignment/>
      <protection locked="0"/>
    </xf>
    <xf numFmtId="0" fontId="0" fillId="24" borderId="17" xfId="0" applyFont="1" applyFill="1" applyBorder="1" applyAlignment="1" applyProtection="1">
      <alignment horizontal="center"/>
      <protection locked="0"/>
    </xf>
    <xf numFmtId="0" fontId="0" fillId="24" borderId="17" xfId="0" applyFont="1" applyFill="1" applyBorder="1" applyAlignment="1" applyProtection="1">
      <alignment horizontal="left"/>
      <protection locked="0"/>
    </xf>
    <xf numFmtId="0" fontId="0" fillId="24" borderId="17" xfId="0" applyFont="1" applyFill="1" applyBorder="1" applyAlignment="1" applyProtection="1">
      <alignment horizontal="center" vertical="center" wrapText="1"/>
      <protection locked="0"/>
    </xf>
    <xf numFmtId="0" fontId="27" fillId="24" borderId="96" xfId="0" applyFont="1" applyFill="1" applyBorder="1" applyAlignment="1" applyProtection="1">
      <alignment/>
      <protection locked="0"/>
    </xf>
    <xf numFmtId="0" fontId="0" fillId="24" borderId="17" xfId="0" applyFont="1" applyFill="1" applyBorder="1" applyAlignment="1" applyProtection="1">
      <alignment horizontal="center"/>
      <protection locked="0"/>
    </xf>
    <xf numFmtId="0" fontId="0" fillId="24" borderId="96" xfId="0" applyFill="1" applyBorder="1" applyAlignment="1" applyProtection="1">
      <alignment/>
      <protection locked="0"/>
    </xf>
    <xf numFmtId="0" fontId="0" fillId="24" borderId="17" xfId="0" applyFont="1" applyFill="1" applyBorder="1" applyAlignment="1" applyProtection="1">
      <alignment horizontal="left"/>
      <protection locked="0"/>
    </xf>
    <xf numFmtId="0" fontId="0" fillId="24" borderId="0" xfId="0" applyFont="1" applyFill="1" applyAlignment="1" applyProtection="1">
      <alignment horizontal="left"/>
      <protection locked="0"/>
    </xf>
    <xf numFmtId="0" fontId="0" fillId="24" borderId="17" xfId="0" applyFill="1" applyBorder="1" applyAlignment="1" applyProtection="1">
      <alignment horizontal="center" vertical="center" wrapText="1"/>
      <protection locked="0"/>
    </xf>
    <xf numFmtId="0" fontId="28" fillId="0" borderId="17" xfId="0" applyFont="1" applyFill="1" applyBorder="1" applyAlignment="1" applyProtection="1">
      <alignment horizontal="center" wrapText="1"/>
      <protection/>
    </xf>
    <xf numFmtId="0" fontId="27" fillId="0" borderId="17" xfId="0" applyFont="1" applyFill="1" applyBorder="1" applyAlignment="1" applyProtection="1">
      <alignment horizontal="center" wrapText="1"/>
      <protection/>
    </xf>
    <xf numFmtId="0" fontId="27" fillId="0" borderId="49" xfId="0" applyFont="1" applyFill="1" applyBorder="1" applyAlignment="1" applyProtection="1">
      <alignment horizontal="center" wrapText="1"/>
      <protection/>
    </xf>
    <xf numFmtId="2" fontId="0" fillId="0" borderId="96" xfId="0" applyNumberFormat="1" applyFill="1" applyBorder="1" applyAlignment="1" applyProtection="1">
      <alignment/>
      <protection/>
    </xf>
    <xf numFmtId="0" fontId="0" fillId="0" borderId="98" xfId="0" applyFill="1" applyBorder="1" applyAlignment="1" applyProtection="1">
      <alignment wrapText="1"/>
      <protection/>
    </xf>
    <xf numFmtId="0" fontId="28" fillId="0" borderId="17" xfId="0" applyFont="1" applyFill="1" applyBorder="1" applyAlignment="1" applyProtection="1">
      <alignment wrapText="1"/>
      <protection/>
    </xf>
    <xf numFmtId="2" fontId="0" fillId="0" borderId="0" xfId="0" applyNumberFormat="1" applyAlignment="1" applyProtection="1">
      <alignment/>
      <protection/>
    </xf>
    <xf numFmtId="0" fontId="28" fillId="0" borderId="0" xfId="0" applyFont="1" applyAlignment="1" applyProtection="1">
      <alignment/>
      <protection/>
    </xf>
    <xf numFmtId="0" fontId="0" fillId="0" borderId="0" xfId="0" applyFont="1" applyAlignment="1" applyProtection="1">
      <alignment horizontal="center"/>
      <protection/>
    </xf>
    <xf numFmtId="0" fontId="29" fillId="0" borderId="17" xfId="0" applyFont="1" applyFill="1" applyBorder="1" applyAlignment="1" applyProtection="1">
      <alignment/>
      <protection/>
    </xf>
    <xf numFmtId="1" fontId="0" fillId="0" borderId="17" xfId="0" applyNumberFormat="1" applyFill="1" applyBorder="1" applyAlignment="1" applyProtection="1">
      <alignment/>
      <protection/>
    </xf>
    <xf numFmtId="1" fontId="0" fillId="7" borderId="17" xfId="0" applyNumberFormat="1" applyFill="1" applyBorder="1" applyAlignment="1" applyProtection="1">
      <alignment/>
      <protection/>
    </xf>
    <xf numFmtId="0" fontId="30" fillId="0" borderId="0" xfId="0" applyFont="1" applyAlignment="1" applyProtection="1">
      <alignment/>
      <protection/>
    </xf>
    <xf numFmtId="0" fontId="0" fillId="24" borderId="27" xfId="0" applyFill="1" applyBorder="1" applyAlignment="1" applyProtection="1">
      <alignment wrapText="1"/>
      <protection locked="0"/>
    </xf>
    <xf numFmtId="0" fontId="0" fillId="0" borderId="89" xfId="0" applyFill="1" applyBorder="1" applyAlignment="1" applyProtection="1">
      <alignment wrapText="1"/>
      <protection/>
    </xf>
    <xf numFmtId="0" fontId="0" fillId="6" borderId="27" xfId="0" applyFill="1" applyBorder="1" applyAlignment="1" applyProtection="1">
      <alignment wrapText="1"/>
      <protection locked="0"/>
    </xf>
    <xf numFmtId="0" fontId="0" fillId="0" borderId="0" xfId="0" applyAlignment="1" applyProtection="1" quotePrefix="1">
      <alignment/>
      <protection/>
    </xf>
    <xf numFmtId="0" fontId="0" fillId="0" borderId="49" xfId="0" applyFont="1" applyFill="1" applyBorder="1" applyAlignment="1" applyProtection="1">
      <alignment/>
      <protection/>
    </xf>
    <xf numFmtId="0" fontId="34" fillId="0" borderId="0" xfId="0" applyFont="1" applyAlignment="1" applyProtection="1">
      <alignment/>
      <protection/>
    </xf>
    <xf numFmtId="0" fontId="0" fillId="0" borderId="96" xfId="0" applyFont="1" applyFill="1" applyBorder="1" applyAlignment="1" applyProtection="1">
      <alignment/>
      <protection/>
    </xf>
    <xf numFmtId="0" fontId="30" fillId="0" borderId="0" xfId="0" applyFont="1" applyFill="1" applyAlignment="1" applyProtection="1">
      <alignment/>
      <protection/>
    </xf>
    <xf numFmtId="2" fontId="0" fillId="0" borderId="47" xfId="0" applyNumberFormat="1" applyFill="1" applyBorder="1" applyAlignment="1" applyProtection="1">
      <alignment/>
      <protection/>
    </xf>
    <xf numFmtId="0" fontId="0" fillId="0" borderId="47" xfId="0" applyFill="1" applyBorder="1" applyAlignment="1" applyProtection="1">
      <alignment/>
      <protection/>
    </xf>
    <xf numFmtId="0" fontId="35" fillId="0" borderId="0" xfId="0" applyFont="1" applyAlignment="1" applyProtection="1">
      <alignment/>
      <protection/>
    </xf>
    <xf numFmtId="2" fontId="0" fillId="7" borderId="16" xfId="0" applyNumberFormat="1" applyFill="1" applyBorder="1" applyAlignment="1" applyProtection="1">
      <alignment/>
      <protection/>
    </xf>
    <xf numFmtId="0" fontId="0" fillId="7" borderId="16" xfId="0" applyFill="1" applyBorder="1" applyAlignment="1" applyProtection="1">
      <alignment/>
      <protection/>
    </xf>
    <xf numFmtId="0" fontId="0" fillId="0" borderId="16" xfId="0" applyFill="1" applyBorder="1" applyAlignment="1" applyProtection="1">
      <alignment/>
      <protection/>
    </xf>
    <xf numFmtId="2" fontId="0" fillId="7" borderId="17" xfId="0" applyNumberFormat="1" applyFill="1" applyBorder="1" applyAlignment="1" applyProtection="1">
      <alignment/>
      <protection/>
    </xf>
    <xf numFmtId="0" fontId="35" fillId="21" borderId="96" xfId="0" applyFont="1" applyFill="1" applyBorder="1" applyAlignment="1" applyProtection="1">
      <alignment/>
      <protection/>
    </xf>
    <xf numFmtId="0" fontId="0" fillId="21" borderId="89" xfId="0" applyFill="1" applyBorder="1" applyAlignment="1" applyProtection="1">
      <alignment/>
      <protection/>
    </xf>
    <xf numFmtId="0" fontId="0" fillId="21" borderId="98" xfId="0" applyFill="1" applyBorder="1" applyAlignment="1" applyProtection="1">
      <alignment/>
      <protection/>
    </xf>
    <xf numFmtId="0" fontId="0" fillId="0" borderId="17" xfId="0" applyFont="1" applyFill="1" applyBorder="1" applyAlignment="1" applyProtection="1">
      <alignment horizontal="right"/>
      <protection/>
    </xf>
    <xf numFmtId="0" fontId="0" fillId="0" borderId="18" xfId="0" applyFont="1" applyFill="1" applyBorder="1" applyAlignment="1" applyProtection="1">
      <alignment horizontal="right"/>
      <protection/>
    </xf>
    <xf numFmtId="1" fontId="0" fillId="7" borderId="18" xfId="0" applyNumberFormat="1" applyFill="1" applyBorder="1" applyAlignment="1" applyProtection="1">
      <alignment/>
      <protection/>
    </xf>
    <xf numFmtId="0" fontId="0" fillId="0" borderId="17" xfId="0" applyBorder="1" applyAlignment="1" applyProtection="1">
      <alignment horizontal="right"/>
      <protection/>
    </xf>
    <xf numFmtId="0" fontId="0" fillId="7" borderId="18" xfId="0" applyFill="1" applyBorder="1" applyAlignment="1" applyProtection="1">
      <alignment/>
      <protection/>
    </xf>
    <xf numFmtId="0" fontId="0" fillId="0" borderId="16" xfId="0" applyFill="1" applyBorder="1" applyAlignment="1" applyProtection="1">
      <alignment horizontal="right"/>
      <protection/>
    </xf>
    <xf numFmtId="0" fontId="0" fillId="0" borderId="0" xfId="0" applyFont="1" applyFill="1" applyBorder="1" applyAlignment="1" applyProtection="1">
      <alignment horizontal="right"/>
      <protection/>
    </xf>
    <xf numFmtId="1" fontId="0" fillId="0" borderId="0" xfId="0" applyNumberFormat="1" applyAlignment="1" applyProtection="1">
      <alignment horizontal="center"/>
      <protection/>
    </xf>
    <xf numFmtId="0" fontId="27" fillId="0" borderId="0" xfId="0" applyFont="1" applyAlignment="1" applyProtection="1">
      <alignment horizontal="right"/>
      <protection/>
    </xf>
    <xf numFmtId="0" fontId="0" fillId="6" borderId="27" xfId="0" applyFill="1" applyBorder="1" applyAlignment="1" applyProtection="1">
      <alignment/>
      <protection locked="0"/>
    </xf>
    <xf numFmtId="0" fontId="0" fillId="6" borderId="17" xfId="0" applyFill="1" applyBorder="1" applyAlignment="1" applyProtection="1">
      <alignment/>
      <protection locked="0"/>
    </xf>
    <xf numFmtId="166" fontId="0" fillId="6" borderId="17" xfId="0" applyNumberFormat="1" applyFill="1" applyBorder="1" applyAlignment="1" applyProtection="1">
      <alignment/>
      <protection locked="0"/>
    </xf>
    <xf numFmtId="0" fontId="0" fillId="6" borderId="16" xfId="0" applyFill="1" applyBorder="1" applyAlignment="1" applyProtection="1">
      <alignment/>
      <protection locked="0"/>
    </xf>
    <xf numFmtId="9" fontId="0" fillId="6" borderId="17" xfId="0" applyNumberFormat="1" applyFill="1" applyBorder="1" applyAlignment="1" applyProtection="1">
      <alignment/>
      <protection locked="0"/>
    </xf>
    <xf numFmtId="0" fontId="0" fillId="6" borderId="17" xfId="0" applyFill="1" applyBorder="1" applyAlignment="1" applyProtection="1">
      <alignment horizontal="center"/>
      <protection locked="0"/>
    </xf>
    <xf numFmtId="0" fontId="39" fillId="0" borderId="17" xfId="0" applyFont="1" applyBorder="1" applyAlignment="1" applyProtection="1">
      <alignment horizontal="center" wrapText="1"/>
      <protection/>
    </xf>
    <xf numFmtId="0" fontId="32" fillId="0" borderId="17" xfId="0" applyFont="1" applyFill="1" applyBorder="1" applyAlignment="1" applyProtection="1">
      <alignment horizontal="center" wrapText="1"/>
      <protection/>
    </xf>
    <xf numFmtId="172" fontId="1" fillId="0" borderId="49" xfId="42" applyNumberFormat="1" applyFont="1" applyFill="1" applyBorder="1" applyAlignment="1" applyProtection="1">
      <alignment/>
      <protection/>
    </xf>
    <xf numFmtId="172" fontId="1" fillId="0" borderId="93" xfId="42" applyNumberFormat="1" applyFont="1" applyFill="1" applyBorder="1" applyAlignment="1" applyProtection="1">
      <alignment/>
      <protection/>
    </xf>
    <xf numFmtId="0" fontId="39" fillId="0" borderId="96" xfId="0" applyFont="1" applyBorder="1" applyAlignment="1" applyProtection="1">
      <alignment/>
      <protection/>
    </xf>
    <xf numFmtId="170" fontId="1" fillId="0" borderId="16" xfId="42" applyNumberFormat="1" applyFont="1" applyFill="1" applyBorder="1" applyAlignment="1" applyProtection="1">
      <alignment/>
      <protection/>
    </xf>
    <xf numFmtId="170" fontId="1" fillId="0" borderId="63" xfId="42" applyNumberFormat="1" applyFont="1" applyFill="1" applyBorder="1" applyAlignment="1" applyProtection="1">
      <alignment/>
      <protection/>
    </xf>
    <xf numFmtId="0" fontId="39" fillId="0" borderId="17" xfId="0" applyFont="1" applyFill="1" applyBorder="1" applyAlignment="1" applyProtection="1">
      <alignment/>
      <protection/>
    </xf>
    <xf numFmtId="2" fontId="0" fillId="0" borderId="17" xfId="0" applyNumberFormat="1" applyFont="1" applyFill="1" applyBorder="1" applyAlignment="1" applyProtection="1">
      <alignment horizontal="center"/>
      <protection/>
    </xf>
    <xf numFmtId="2" fontId="0" fillId="0" borderId="96" xfId="0" applyNumberFormat="1" applyFont="1" applyFill="1" applyBorder="1" applyAlignment="1" applyProtection="1">
      <alignment horizontal="center"/>
      <protection/>
    </xf>
    <xf numFmtId="43" fontId="1" fillId="0" borderId="17" xfId="42" applyFont="1" applyFill="1" applyBorder="1" applyAlignment="1" applyProtection="1">
      <alignment/>
      <protection/>
    </xf>
    <xf numFmtId="39" fontId="1" fillId="0" borderId="16" xfId="42" applyNumberFormat="1" applyFont="1" applyFill="1" applyBorder="1" applyAlignment="1" applyProtection="1">
      <alignment/>
      <protection/>
    </xf>
    <xf numFmtId="43" fontId="1" fillId="0" borderId="16" xfId="42" applyFont="1" applyFill="1" applyBorder="1" applyAlignment="1" applyProtection="1">
      <alignment/>
      <protection/>
    </xf>
    <xf numFmtId="170" fontId="1" fillId="0" borderId="17" xfId="42" applyNumberFormat="1" applyFont="1" applyFill="1" applyBorder="1" applyAlignment="1" applyProtection="1">
      <alignment/>
      <protection/>
    </xf>
    <xf numFmtId="173" fontId="1" fillId="7" borderId="17" xfId="42" applyNumberFormat="1" applyFont="1" applyFill="1" applyBorder="1" applyAlignment="1" applyProtection="1">
      <alignment/>
      <protection/>
    </xf>
    <xf numFmtId="172" fontId="1" fillId="7" borderId="17" xfId="42" applyNumberFormat="1" applyFont="1" applyFill="1" applyBorder="1" applyAlignment="1" applyProtection="1">
      <alignment/>
      <protection/>
    </xf>
    <xf numFmtId="174" fontId="1" fillId="7" borderId="17" xfId="42" applyNumberFormat="1" applyFont="1" applyFill="1" applyBorder="1" applyAlignment="1" applyProtection="1">
      <alignment/>
      <protection/>
    </xf>
    <xf numFmtId="43" fontId="1" fillId="0" borderId="17" xfId="42" applyNumberFormat="1" applyFont="1" applyFill="1" applyBorder="1" applyAlignment="1" applyProtection="1">
      <alignment/>
      <protection/>
    </xf>
    <xf numFmtId="43" fontId="1" fillId="0" borderId="16" xfId="42" applyNumberFormat="1" applyFont="1" applyFill="1" applyBorder="1" applyAlignment="1" applyProtection="1">
      <alignment/>
      <protection/>
    </xf>
    <xf numFmtId="171" fontId="1" fillId="24" borderId="27" xfId="42" applyNumberFormat="1" applyFont="1" applyFill="1" applyBorder="1" applyAlignment="1" applyProtection="1">
      <alignment/>
      <protection locked="0"/>
    </xf>
    <xf numFmtId="170" fontId="1" fillId="24" borderId="27" xfId="42" applyNumberFormat="1" applyFont="1" applyFill="1" applyBorder="1" applyAlignment="1" applyProtection="1">
      <alignment/>
      <protection locked="0"/>
    </xf>
    <xf numFmtId="43" fontId="1" fillId="24" borderId="27" xfId="42" applyNumberFormat="1" applyFont="1" applyFill="1" applyBorder="1" applyAlignment="1" applyProtection="1">
      <alignment/>
      <protection locked="0"/>
    </xf>
    <xf numFmtId="9" fontId="1" fillId="24" borderId="27" xfId="66" applyNumberFormat="1" applyFont="1" applyFill="1" applyBorder="1" applyAlignment="1" applyProtection="1">
      <alignment/>
      <protection locked="0"/>
    </xf>
    <xf numFmtId="0" fontId="12" fillId="21" borderId="57" xfId="0" applyFont="1" applyFill="1" applyBorder="1" applyAlignment="1" applyProtection="1">
      <alignment/>
      <protection/>
    </xf>
    <xf numFmtId="0" fontId="0" fillId="0" borderId="57" xfId="0" applyBorder="1" applyAlignment="1" applyProtection="1">
      <alignment/>
      <protection/>
    </xf>
    <xf numFmtId="3" fontId="0" fillId="0" borderId="32" xfId="0" applyNumberFormat="1" applyFill="1" applyBorder="1" applyAlignment="1" applyProtection="1">
      <alignment/>
      <protection/>
    </xf>
    <xf numFmtId="0" fontId="0" fillId="0" borderId="25" xfId="0" applyBorder="1" applyAlignment="1" applyProtection="1">
      <alignment/>
      <protection/>
    </xf>
    <xf numFmtId="0" fontId="0" fillId="0" borderId="40" xfId="0" applyBorder="1" applyAlignment="1" applyProtection="1">
      <alignment/>
      <protection/>
    </xf>
    <xf numFmtId="3" fontId="0" fillId="0" borderId="29" xfId="0" applyNumberFormat="1" applyFill="1" applyBorder="1" applyAlignment="1" applyProtection="1">
      <alignment/>
      <protection/>
    </xf>
    <xf numFmtId="0" fontId="0" fillId="0" borderId="25" xfId="0" applyFill="1" applyBorder="1" applyAlignment="1" applyProtection="1">
      <alignment/>
      <protection/>
    </xf>
    <xf numFmtId="3" fontId="0" fillId="0" borderId="27" xfId="0" applyNumberFormat="1" applyBorder="1" applyAlignment="1" applyProtection="1">
      <alignment/>
      <protection/>
    </xf>
    <xf numFmtId="0" fontId="12" fillId="21" borderId="100" xfId="0" applyFont="1" applyFill="1" applyBorder="1" applyAlignment="1" applyProtection="1">
      <alignment/>
      <protection/>
    </xf>
    <xf numFmtId="0" fontId="12" fillId="21" borderId="25" xfId="0" applyFont="1" applyFill="1" applyBorder="1" applyAlignment="1" applyProtection="1">
      <alignment/>
      <protection/>
    </xf>
    <xf numFmtId="0" fontId="12" fillId="21" borderId="101" xfId="0" applyFont="1" applyFill="1" applyBorder="1" applyAlignment="1" applyProtection="1">
      <alignment horizontal="center"/>
      <protection/>
    </xf>
    <xf numFmtId="3" fontId="0" fillId="0" borderId="39" xfId="0" applyNumberFormat="1" applyFill="1" applyBorder="1" applyAlignment="1" applyProtection="1">
      <alignment/>
      <protection/>
    </xf>
    <xf numFmtId="164" fontId="0" fillId="0" borderId="27" xfId="0" applyNumberFormat="1" applyBorder="1" applyAlignment="1" applyProtection="1">
      <alignment/>
      <protection/>
    </xf>
    <xf numFmtId="164" fontId="0" fillId="0" borderId="39" xfId="0" applyNumberFormat="1" applyBorder="1" applyAlignment="1" applyProtection="1">
      <alignment/>
      <protection/>
    </xf>
    <xf numFmtId="10" fontId="0" fillId="0" borderId="27" xfId="0" applyNumberFormat="1" applyBorder="1" applyAlignment="1" applyProtection="1">
      <alignment/>
      <protection/>
    </xf>
    <xf numFmtId="10" fontId="0" fillId="0" borderId="39" xfId="0" applyNumberFormat="1" applyBorder="1" applyAlignment="1" applyProtection="1">
      <alignment/>
      <protection/>
    </xf>
    <xf numFmtId="0" fontId="33" fillId="0" borderId="25" xfId="0" applyFont="1" applyFill="1" applyBorder="1" applyAlignment="1" applyProtection="1">
      <alignment/>
      <protection/>
    </xf>
    <xf numFmtId="164" fontId="0" fillId="0" borderId="27" xfId="0" applyNumberFormat="1" applyFill="1" applyBorder="1" applyAlignment="1" applyProtection="1">
      <alignment/>
      <protection/>
    </xf>
    <xf numFmtId="170" fontId="0" fillId="0" borderId="27" xfId="42" applyNumberFormat="1" applyFont="1" applyFill="1" applyBorder="1" applyAlignment="1" applyProtection="1">
      <alignment/>
      <protection/>
    </xf>
    <xf numFmtId="164" fontId="0" fillId="0" borderId="39" xfId="0" applyNumberFormat="1" applyFill="1" applyBorder="1" applyAlignment="1" applyProtection="1">
      <alignment/>
      <protection/>
    </xf>
    <xf numFmtId="10" fontId="0" fillId="0" borderId="27" xfId="0" applyNumberFormat="1" applyFont="1" applyBorder="1" applyAlignment="1" applyProtection="1">
      <alignment/>
      <protection/>
    </xf>
    <xf numFmtId="10" fontId="32" fillId="0" borderId="39" xfId="0" applyNumberFormat="1" applyFont="1" applyBorder="1" applyAlignment="1" applyProtection="1">
      <alignment/>
      <protection/>
    </xf>
    <xf numFmtId="0" fontId="0" fillId="0" borderId="17" xfId="0" applyFont="1" applyBorder="1" applyAlignment="1" applyProtection="1">
      <alignment/>
      <protection/>
    </xf>
    <xf numFmtId="0" fontId="0" fillId="0" borderId="0" xfId="0" applyFont="1" applyAlignment="1" applyProtection="1">
      <alignment horizontal="center" vertical="center" wrapText="1"/>
      <protection/>
    </xf>
    <xf numFmtId="0" fontId="0" fillId="0" borderId="97" xfId="0" applyFont="1" applyBorder="1" applyAlignment="1" applyProtection="1">
      <alignment/>
      <protection/>
    </xf>
    <xf numFmtId="167" fontId="0" fillId="24" borderId="27" xfId="0" applyNumberFormat="1" applyFont="1" applyFill="1" applyBorder="1" applyAlignment="1" applyProtection="1">
      <alignment/>
      <protection locked="0"/>
    </xf>
    <xf numFmtId="0" fontId="0" fillId="0" borderId="0" xfId="0" applyFont="1" applyAlignment="1" applyProtection="1">
      <alignment horizontal="left"/>
      <protection/>
    </xf>
    <xf numFmtId="0" fontId="0" fillId="0" borderId="0" xfId="0" applyAlignment="1">
      <alignment horizontal="left"/>
    </xf>
    <xf numFmtId="0" fontId="0" fillId="0" borderId="96" xfId="0" applyFont="1" applyFill="1" applyBorder="1" applyAlignment="1" applyProtection="1">
      <alignment/>
      <protection/>
    </xf>
    <xf numFmtId="0" fontId="0" fillId="17" borderId="0" xfId="0" applyFont="1" applyFill="1" applyAlignment="1" applyProtection="1">
      <alignment/>
      <protection/>
    </xf>
    <xf numFmtId="0" fontId="0" fillId="0" borderId="0" xfId="0" applyFont="1" applyAlignment="1" applyProtection="1">
      <alignment horizontal="left"/>
      <protection/>
    </xf>
    <xf numFmtId="0" fontId="0" fillId="24" borderId="0" xfId="0" applyFont="1" applyFill="1" applyAlignment="1" applyProtection="1">
      <alignment/>
      <protection/>
    </xf>
    <xf numFmtId="0" fontId="0" fillId="29" borderId="0" xfId="0" applyFill="1" applyAlignment="1" applyProtection="1">
      <alignment/>
      <protection locked="0"/>
    </xf>
    <xf numFmtId="6" fontId="0" fillId="29" borderId="0" xfId="0" applyNumberFormat="1" applyFill="1" applyAlignment="1" applyProtection="1">
      <alignment/>
      <protection locked="0"/>
    </xf>
    <xf numFmtId="168" fontId="8" fillId="0" borderId="0" xfId="62" applyNumberFormat="1" applyFont="1" applyFill="1">
      <alignment/>
      <protection/>
    </xf>
    <xf numFmtId="0" fontId="0" fillId="24" borderId="0" xfId="0" applyFont="1" applyFill="1" applyAlignment="1" applyProtection="1">
      <alignment/>
      <protection locked="0"/>
    </xf>
    <xf numFmtId="0" fontId="8" fillId="24" borderId="0" xfId="62" applyFont="1" applyFill="1" applyProtection="1">
      <alignment/>
      <protection locked="0"/>
    </xf>
    <xf numFmtId="6" fontId="0" fillId="29" borderId="0" xfId="0" applyNumberFormat="1" applyFont="1" applyFill="1" applyAlignment="1" applyProtection="1">
      <alignment/>
      <protection locked="0"/>
    </xf>
    <xf numFmtId="0" fontId="0" fillId="29" borderId="0" xfId="0" applyFont="1" applyFill="1" applyAlignment="1" applyProtection="1">
      <alignment/>
      <protection locked="0"/>
    </xf>
    <xf numFmtId="1" fontId="37" fillId="0" borderId="41" xfId="61" applyNumberFormat="1" applyFont="1" applyBorder="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Fill="1" applyBorder="1" applyAlignment="1" applyProtection="1">
      <alignment horizontal="right"/>
      <protection/>
    </xf>
    <xf numFmtId="1" fontId="0" fillId="0" borderId="0" xfId="0" applyNumberFormat="1" applyAlignment="1">
      <alignment horizontal="center"/>
    </xf>
    <xf numFmtId="0" fontId="0" fillId="0" borderId="26" xfId="0" applyBorder="1" applyAlignment="1" applyProtection="1">
      <alignment/>
      <protection/>
    </xf>
    <xf numFmtId="1" fontId="0" fillId="0" borderId="0" xfId="0" applyNumberFormat="1" applyAlignment="1" applyProtection="1">
      <alignment horizontal="right"/>
      <protection/>
    </xf>
    <xf numFmtId="0" fontId="0" fillId="0" borderId="0" xfId="0" applyFont="1" applyAlignment="1">
      <alignment/>
    </xf>
    <xf numFmtId="0" fontId="67" fillId="0" borderId="0" xfId="0" applyFont="1" applyAlignment="1">
      <alignment/>
    </xf>
    <xf numFmtId="0" fontId="0" fillId="0" borderId="0" xfId="0" applyAlignment="1" applyProtection="1">
      <alignment horizontal="center"/>
      <protection locked="0"/>
    </xf>
    <xf numFmtId="0" fontId="67" fillId="0" borderId="0" xfId="0" applyFont="1" applyAlignment="1" applyProtection="1">
      <alignment/>
      <protection/>
    </xf>
    <xf numFmtId="0" fontId="27" fillId="0" borderId="0" xfId="0" applyFont="1" applyFill="1" applyBorder="1" applyAlignment="1" applyProtection="1">
      <alignment horizontal="right"/>
      <protection/>
    </xf>
    <xf numFmtId="1" fontId="0" fillId="0" borderId="0" xfId="0" applyNumberFormat="1" applyAlignment="1">
      <alignment/>
    </xf>
    <xf numFmtId="0" fontId="0" fillId="0" borderId="26" xfId="0" applyBorder="1" applyAlignment="1">
      <alignment/>
    </xf>
    <xf numFmtId="0" fontId="0" fillId="0" borderId="26" xfId="0" applyFont="1" applyBorder="1" applyAlignment="1">
      <alignment/>
    </xf>
    <xf numFmtId="0" fontId="0" fillId="0" borderId="0" xfId="0" applyAlignment="1" applyProtection="1">
      <alignment/>
      <protection locked="0"/>
    </xf>
    <xf numFmtId="0" fontId="0" fillId="0" borderId="0" xfId="0" applyFont="1" applyAlignment="1" applyProtection="1">
      <alignment/>
      <protection locked="0"/>
    </xf>
    <xf numFmtId="0" fontId="0" fillId="0" borderId="96" xfId="0" applyFont="1" applyBorder="1" applyAlignment="1" applyProtection="1">
      <alignment/>
      <protection/>
    </xf>
    <xf numFmtId="0" fontId="0" fillId="0" borderId="102" xfId="0" applyFont="1" applyFill="1" applyBorder="1" applyAlignment="1" applyProtection="1">
      <alignment/>
      <protection/>
    </xf>
    <xf numFmtId="0" fontId="27" fillId="0" borderId="103" xfId="0" applyFont="1" applyFill="1" applyBorder="1" applyAlignment="1" applyProtection="1">
      <alignment horizontal="center" vertical="center" wrapText="1"/>
      <protection/>
    </xf>
    <xf numFmtId="0" fontId="27" fillId="0" borderId="104" xfId="0" applyFont="1" applyFill="1" applyBorder="1" applyAlignment="1" applyProtection="1">
      <alignment horizontal="center" vertical="center" wrapText="1"/>
      <protection/>
    </xf>
    <xf numFmtId="0" fontId="27" fillId="0" borderId="32" xfId="0" applyFont="1" applyFill="1" applyBorder="1" applyAlignment="1" applyProtection="1">
      <alignment horizontal="center" vertical="center" wrapText="1"/>
      <protection/>
    </xf>
    <xf numFmtId="0" fontId="0" fillId="0" borderId="0" xfId="0" applyBorder="1" applyAlignment="1" applyProtection="1">
      <alignment/>
      <protection locked="0"/>
    </xf>
    <xf numFmtId="0" fontId="27" fillId="0" borderId="0" xfId="0" applyFont="1" applyFill="1" applyBorder="1" applyAlignment="1" applyProtection="1">
      <alignment horizontal="center" vertical="center" wrapText="1"/>
      <protection locked="0"/>
    </xf>
    <xf numFmtId="0" fontId="0" fillId="0" borderId="105" xfId="0" applyFont="1" applyFill="1" applyBorder="1" applyAlignment="1" applyProtection="1">
      <alignment/>
      <protection locked="0"/>
    </xf>
    <xf numFmtId="0" fontId="0" fillId="0" borderId="97" xfId="0" applyFont="1" applyBorder="1" applyAlignment="1" applyProtection="1">
      <alignment/>
      <protection locked="0"/>
    </xf>
    <xf numFmtId="3" fontId="4" fillId="0" borderId="50" xfId="0" applyNumberFormat="1" applyFont="1" applyFill="1" applyBorder="1" applyAlignment="1" applyProtection="1">
      <alignment wrapText="1"/>
      <protection locked="0"/>
    </xf>
    <xf numFmtId="0" fontId="0" fillId="24" borderId="27" xfId="0" applyFont="1" applyFill="1" applyBorder="1" applyAlignment="1" applyProtection="1">
      <alignment/>
      <protection locked="0"/>
    </xf>
    <xf numFmtId="3" fontId="3" fillId="0" borderId="0" xfId="0" applyNumberFormat="1" applyFont="1" applyFill="1" applyBorder="1" applyAlignment="1" applyProtection="1">
      <alignment vertical="center" wrapText="1"/>
      <protection/>
    </xf>
    <xf numFmtId="0" fontId="0" fillId="0" borderId="0" xfId="0" applyFont="1" applyBorder="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8" fillId="0" borderId="0" xfId="62" applyFont="1" applyFill="1" applyBorder="1" applyProtection="1">
      <alignment/>
      <protection locked="0"/>
    </xf>
    <xf numFmtId="0" fontId="8" fillId="0" borderId="0" xfId="62" applyFont="1" applyProtection="1">
      <alignment/>
      <protection locked="0"/>
    </xf>
    <xf numFmtId="2" fontId="8" fillId="0" borderId="0" xfId="62" applyNumberFormat="1" applyFont="1" applyFill="1" applyBorder="1" applyProtection="1">
      <alignment/>
      <protection locked="0"/>
    </xf>
    <xf numFmtId="168" fontId="8" fillId="0" borderId="0" xfId="62" applyNumberFormat="1" applyFont="1" applyFill="1" applyBorder="1" applyProtection="1">
      <alignment/>
      <protection locked="0"/>
    </xf>
    <xf numFmtId="0" fontId="8" fillId="0" borderId="0" xfId="62" applyFont="1" applyFill="1" applyProtection="1">
      <alignment/>
      <protection locked="0"/>
    </xf>
    <xf numFmtId="0" fontId="8" fillId="6" borderId="0" xfId="62" applyFont="1" applyFill="1" applyProtection="1">
      <alignment/>
      <protection locked="0"/>
    </xf>
    <xf numFmtId="0" fontId="8" fillId="7" borderId="0" xfId="62" applyFont="1" applyFill="1" applyProtection="1">
      <alignment/>
      <protection locked="0"/>
    </xf>
    <xf numFmtId="0" fontId="1" fillId="0" borderId="0" xfId="63" applyProtection="1">
      <alignment/>
      <protection locked="0"/>
    </xf>
    <xf numFmtId="0" fontId="0" fillId="0" borderId="0" xfId="61" applyFill="1" applyProtection="1">
      <alignment/>
      <protection locked="0"/>
    </xf>
    <xf numFmtId="0" fontId="1" fillId="0" borderId="0" xfId="63" applyFill="1" applyProtection="1">
      <alignment/>
      <protection locked="0"/>
    </xf>
    <xf numFmtId="0" fontId="0" fillId="27" borderId="0" xfId="61" applyFill="1" applyBorder="1" applyAlignment="1" applyProtection="1">
      <alignment horizontal="left" vertical="center"/>
      <protection locked="0"/>
    </xf>
    <xf numFmtId="3" fontId="1" fillId="0" borderId="0" xfId="63" applyNumberFormat="1" applyFill="1" applyBorder="1" applyAlignment="1" applyProtection="1">
      <alignment horizontal="center"/>
      <protection locked="0"/>
    </xf>
    <xf numFmtId="0" fontId="1" fillId="0" borderId="0" xfId="63" applyFont="1" applyProtection="1">
      <alignment/>
      <protection locked="0"/>
    </xf>
    <xf numFmtId="0" fontId="27" fillId="0" borderId="0" xfId="0" applyFont="1" applyAlignment="1" applyProtection="1">
      <alignment/>
      <protection locked="0"/>
    </xf>
    <xf numFmtId="170" fontId="0" fillId="0" borderId="0" xfId="0" applyNumberFormat="1" applyAlignment="1" applyProtection="1">
      <alignment/>
      <protection locked="0"/>
    </xf>
    <xf numFmtId="0" fontId="0" fillId="0" borderId="0" xfId="0" applyFont="1" applyAlignment="1" applyProtection="1">
      <alignment/>
      <protection locked="0"/>
    </xf>
    <xf numFmtId="0" fontId="32" fillId="0" borderId="0" xfId="0" applyFont="1" applyAlignment="1" applyProtection="1">
      <alignment/>
      <protection locked="0"/>
    </xf>
    <xf numFmtId="0" fontId="0" fillId="0" borderId="0" xfId="0" applyAlignment="1" applyProtection="1" quotePrefix="1">
      <alignment/>
      <protection locked="0"/>
    </xf>
    <xf numFmtId="0" fontId="0" fillId="0" borderId="0" xfId="0" applyFill="1" applyAlignment="1" applyProtection="1">
      <alignment/>
      <protection locked="0"/>
    </xf>
    <xf numFmtId="0" fontId="0" fillId="0" borderId="0" xfId="0" applyAlignment="1" applyProtection="1">
      <alignment wrapText="1" shrinkToFit="1"/>
      <protection locked="0"/>
    </xf>
    <xf numFmtId="0" fontId="18" fillId="0" borderId="0" xfId="56" applyAlignment="1" applyProtection="1">
      <alignment/>
      <protection locked="0"/>
    </xf>
    <xf numFmtId="0" fontId="0" fillId="0" borderId="0" xfId="0" applyFill="1" applyAlignment="1" applyProtection="1">
      <alignment wrapText="1"/>
      <protection locked="0"/>
    </xf>
    <xf numFmtId="0" fontId="27" fillId="0" borderId="0" xfId="0" applyFont="1" applyFill="1" applyBorder="1" applyAlignment="1" applyProtection="1">
      <alignment wrapText="1"/>
      <protection locked="0"/>
    </xf>
    <xf numFmtId="0" fontId="0" fillId="0" borderId="0" xfId="0" applyFill="1" applyBorder="1" applyAlignment="1" applyProtection="1">
      <alignment/>
      <protection locked="0"/>
    </xf>
    <xf numFmtId="2" fontId="0" fillId="0" borderId="0" xfId="0" applyNumberFormat="1" applyFill="1" applyBorder="1" applyAlignment="1" applyProtection="1">
      <alignment/>
      <protection locked="0"/>
    </xf>
    <xf numFmtId="166" fontId="0" fillId="0" borderId="0" xfId="0" applyNumberFormat="1" applyAlignment="1" applyProtection="1">
      <alignment/>
      <protection locked="0"/>
    </xf>
    <xf numFmtId="2" fontId="0" fillId="0" borderId="0" xfId="0" applyNumberFormat="1" applyAlignment="1" applyProtection="1">
      <alignment/>
      <protection locked="0"/>
    </xf>
    <xf numFmtId="0" fontId="0" fillId="0" borderId="0" xfId="0" applyAlignment="1" applyProtection="1">
      <alignment horizontal="right"/>
      <protection locked="0"/>
    </xf>
    <xf numFmtId="165" fontId="0" fillId="0" borderId="0" xfId="0" applyNumberFormat="1" applyAlignment="1" applyProtection="1">
      <alignment/>
      <protection locked="0"/>
    </xf>
    <xf numFmtId="0" fontId="27" fillId="22" borderId="17" xfId="0" applyFont="1" applyFill="1" applyBorder="1" applyAlignment="1" applyProtection="1">
      <alignment/>
      <protection locked="0"/>
    </xf>
    <xf numFmtId="0" fontId="0" fillId="22" borderId="17" xfId="0" applyFill="1" applyBorder="1" applyAlignment="1" applyProtection="1">
      <alignment/>
      <protection locked="0"/>
    </xf>
    <xf numFmtId="0" fontId="0" fillId="0" borderId="0" xfId="0" applyFont="1" applyAlignment="1" applyProtection="1">
      <alignment wrapText="1"/>
      <protection locked="0"/>
    </xf>
    <xf numFmtId="0" fontId="0" fillId="0" borderId="0" xfId="0" applyFont="1" applyFill="1" applyBorder="1" applyAlignment="1" applyProtection="1">
      <alignment/>
      <protection locked="0"/>
    </xf>
    <xf numFmtId="0" fontId="7" fillId="0" borderId="0" xfId="0" applyFont="1" applyAlignment="1" applyProtection="1">
      <alignment horizontal="left"/>
      <protection locked="0"/>
    </xf>
    <xf numFmtId="0" fontId="7" fillId="0" borderId="0" xfId="0" applyFont="1" applyAlignment="1" applyProtection="1">
      <alignment/>
      <protection locked="0"/>
    </xf>
    <xf numFmtId="0" fontId="0" fillId="22" borderId="17" xfId="0" applyFont="1" applyFill="1" applyBorder="1" applyAlignment="1" applyProtection="1">
      <alignment/>
      <protection locked="0"/>
    </xf>
    <xf numFmtId="0" fontId="0" fillId="0" borderId="17" xfId="0" applyFont="1" applyFill="1" applyBorder="1" applyAlignment="1" applyProtection="1">
      <alignment/>
      <protection locked="0"/>
    </xf>
    <xf numFmtId="166" fontId="0" fillId="0" borderId="17" xfId="0" applyNumberFormat="1" applyFont="1" applyFill="1" applyBorder="1" applyAlignment="1" applyProtection="1">
      <alignment/>
      <protection locked="0"/>
    </xf>
    <xf numFmtId="0" fontId="0" fillId="0" borderId="33" xfId="0" applyFont="1" applyFill="1" applyBorder="1" applyAlignment="1" applyProtection="1">
      <alignment/>
      <protection locked="0"/>
    </xf>
    <xf numFmtId="0" fontId="0" fillId="22" borderId="49" xfId="0" applyFont="1" applyFill="1" applyBorder="1" applyAlignment="1" applyProtection="1">
      <alignment/>
      <protection locked="0"/>
    </xf>
    <xf numFmtId="0" fontId="0" fillId="22" borderId="18" xfId="0" applyFont="1" applyFill="1" applyBorder="1" applyAlignment="1" applyProtection="1">
      <alignment/>
      <protection locked="0"/>
    </xf>
    <xf numFmtId="0" fontId="0" fillId="0" borderId="0" xfId="0" applyFont="1" applyFill="1" applyBorder="1" applyAlignment="1" applyProtection="1">
      <alignment/>
      <protection locked="0"/>
    </xf>
    <xf numFmtId="0" fontId="0" fillId="22" borderId="0" xfId="0" applyFont="1" applyFill="1" applyBorder="1" applyAlignment="1" applyProtection="1">
      <alignment/>
      <protection locked="0"/>
    </xf>
    <xf numFmtId="0" fontId="0"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Font="1" applyBorder="1" applyAlignment="1" applyProtection="1">
      <alignment/>
      <protection locked="0"/>
    </xf>
    <xf numFmtId="0" fontId="0" fillId="0" borderId="0" xfId="0" applyFill="1" applyBorder="1" applyAlignment="1" applyProtection="1">
      <alignment wrapText="1"/>
      <protection locked="0"/>
    </xf>
    <xf numFmtId="1" fontId="27" fillId="0" borderId="0" xfId="0" applyNumberFormat="1" applyFont="1" applyAlignment="1" applyProtection="1">
      <alignment/>
      <protection locked="0"/>
    </xf>
    <xf numFmtId="1" fontId="27" fillId="0" borderId="0" xfId="0" applyNumberFormat="1" applyFont="1" applyAlignment="1" applyProtection="1">
      <alignment horizontal="left"/>
      <protection locked="0"/>
    </xf>
    <xf numFmtId="0" fontId="0" fillId="6" borderId="17" xfId="0" applyFont="1" applyFill="1" applyBorder="1" applyAlignment="1" applyProtection="1">
      <alignment horizontal="center"/>
      <protection locked="0"/>
    </xf>
    <xf numFmtId="168" fontId="0" fillId="0" borderId="0" xfId="0" applyNumberFormat="1" applyAlignment="1" applyProtection="1">
      <alignment/>
      <protection locked="0"/>
    </xf>
    <xf numFmtId="0" fontId="51" fillId="0" borderId="0" xfId="62" applyFont="1" applyProtection="1">
      <alignment/>
      <protection locked="0"/>
    </xf>
    <xf numFmtId="0" fontId="51" fillId="0" borderId="0" xfId="62" applyFont="1" applyFill="1" applyProtection="1">
      <alignment/>
      <protection locked="0"/>
    </xf>
    <xf numFmtId="0" fontId="1" fillId="0" borderId="0" xfId="62" applyProtection="1">
      <alignment/>
      <protection locked="0"/>
    </xf>
    <xf numFmtId="0" fontId="1" fillId="0" borderId="0" xfId="62" applyFill="1" applyProtection="1">
      <alignment/>
      <protection locked="0"/>
    </xf>
    <xf numFmtId="0" fontId="6" fillId="0" borderId="0" xfId="0" applyFont="1" applyAlignment="1" applyProtection="1">
      <alignment/>
      <protection locked="0"/>
    </xf>
    <xf numFmtId="43" fontId="0" fillId="0" borderId="0" xfId="0" applyNumberFormat="1" applyAlignment="1" applyProtection="1">
      <alignment/>
      <protection locked="0"/>
    </xf>
    <xf numFmtId="0" fontId="12" fillId="21" borderId="56" xfId="0" applyFont="1" applyFill="1" applyBorder="1" applyAlignment="1" applyProtection="1">
      <alignment horizontal="center" wrapText="1"/>
      <protection/>
    </xf>
    <xf numFmtId="0" fontId="0" fillId="0" borderId="0" xfId="0" applyFont="1" applyFill="1" applyAlignment="1" applyProtection="1">
      <alignment/>
      <protection locked="0"/>
    </xf>
    <xf numFmtId="167" fontId="3" fillId="0" borderId="31" xfId="0" applyNumberFormat="1" applyFont="1" applyFill="1" applyBorder="1" applyAlignment="1" applyProtection="1">
      <alignment vertical="center" wrapText="1"/>
      <protection/>
    </xf>
    <xf numFmtId="0" fontId="67" fillId="0" borderId="0" xfId="0" applyFont="1" applyAlignment="1" applyProtection="1">
      <alignment horizontal="right"/>
      <protection locked="0"/>
    </xf>
    <xf numFmtId="0" fontId="0" fillId="30" borderId="0" xfId="0" applyFont="1" applyFill="1" applyAlignment="1" applyProtection="1">
      <alignment/>
      <protection/>
    </xf>
    <xf numFmtId="0" fontId="0" fillId="30" borderId="0" xfId="0" applyFont="1" applyFill="1" applyAlignment="1" applyProtection="1">
      <alignment horizontal="left"/>
      <protection/>
    </xf>
    <xf numFmtId="0" fontId="27" fillId="0" borderId="0" xfId="0" applyFont="1" applyFill="1" applyBorder="1" applyAlignment="1" applyProtection="1">
      <alignment/>
      <protection/>
    </xf>
    <xf numFmtId="0" fontId="0" fillId="0" borderId="0" xfId="0" applyFont="1" applyFill="1" applyBorder="1" applyAlignment="1" applyProtection="1">
      <alignment/>
      <protection/>
    </xf>
    <xf numFmtId="168" fontId="0" fillId="0" borderId="0" xfId="0" applyNumberFormat="1" applyAlignment="1" applyProtection="1">
      <alignment/>
      <protection/>
    </xf>
    <xf numFmtId="0" fontId="0" fillId="0" borderId="0" xfId="0" applyFont="1" applyFill="1" applyBorder="1" applyAlignment="1" applyProtection="1">
      <alignment horizontal="center"/>
      <protection/>
    </xf>
    <xf numFmtId="0" fontId="0" fillId="0" borderId="0" xfId="0" applyFont="1" applyAlignment="1" applyProtection="1">
      <alignment horizontal="center"/>
      <protection/>
    </xf>
    <xf numFmtId="168" fontId="0" fillId="0" borderId="0" xfId="0" applyNumberFormat="1" applyAlignment="1" applyProtection="1">
      <alignment horizontal="center"/>
      <protection/>
    </xf>
    <xf numFmtId="168" fontId="1" fillId="7" borderId="17" xfId="42" applyNumberFormat="1" applyFont="1" applyFill="1" applyBorder="1" applyAlignment="1" applyProtection="1">
      <alignment/>
      <protection/>
    </xf>
    <xf numFmtId="0" fontId="1" fillId="20" borderId="96" xfId="63" applyFont="1" applyFill="1" applyBorder="1" applyAlignment="1" applyProtection="1">
      <alignment horizontal="left"/>
      <protection/>
    </xf>
    <xf numFmtId="0" fontId="0" fillId="0" borderId="0" xfId="0" applyFill="1" applyBorder="1" applyAlignment="1" applyProtection="1">
      <alignment horizontal="center"/>
      <protection locked="0"/>
    </xf>
    <xf numFmtId="0" fontId="68" fillId="0" borderId="0" xfId="0" applyFont="1" applyFill="1" applyBorder="1" applyAlignment="1" applyProtection="1">
      <alignment horizontal="center"/>
      <protection/>
    </xf>
    <xf numFmtId="9" fontId="37" fillId="0" borderId="48" xfId="66" applyFont="1" applyFill="1" applyBorder="1" applyAlignment="1" applyProtection="1">
      <alignment horizontal="center"/>
      <protection/>
    </xf>
    <xf numFmtId="0" fontId="3" fillId="27" borderId="57" xfId="0" applyFont="1" applyFill="1" applyBorder="1" applyAlignment="1" applyProtection="1">
      <alignment horizontal="justify" wrapText="1"/>
      <protection/>
    </xf>
    <xf numFmtId="0" fontId="3" fillId="27" borderId="42" xfId="0" applyFont="1" applyFill="1" applyBorder="1" applyAlignment="1" applyProtection="1">
      <alignment horizontal="justify" wrapText="1"/>
      <protection/>
    </xf>
    <xf numFmtId="0" fontId="3" fillId="24" borderId="50" xfId="0" applyFont="1" applyFill="1" applyBorder="1" applyAlignment="1" applyProtection="1">
      <alignment horizontal="left" wrapText="1"/>
      <protection/>
    </xf>
    <xf numFmtId="0" fontId="3" fillId="24" borderId="36" xfId="0" applyFont="1" applyFill="1" applyBorder="1" applyAlignment="1" applyProtection="1">
      <alignment horizontal="left" wrapText="1"/>
      <protection/>
    </xf>
    <xf numFmtId="9" fontId="0" fillId="0" borderId="25" xfId="66" applyFont="1" applyFill="1" applyBorder="1" applyAlignment="1" applyProtection="1">
      <alignment horizontal="center"/>
      <protection/>
    </xf>
    <xf numFmtId="9" fontId="0" fillId="0" borderId="39" xfId="66" applyFont="1" applyFill="1" applyBorder="1" applyAlignment="1" applyProtection="1">
      <alignment horizontal="center"/>
      <protection/>
    </xf>
    <xf numFmtId="0" fontId="0" fillId="0" borderId="25" xfId="0" applyFont="1" applyFill="1" applyBorder="1" applyAlignment="1" applyProtection="1">
      <alignment horizontal="right" vertical="top" wrapText="1"/>
      <protection/>
    </xf>
    <xf numFmtId="0" fontId="0" fillId="0" borderId="39" xfId="0" applyFont="1" applyFill="1" applyBorder="1" applyAlignment="1" applyProtection="1">
      <alignment horizontal="right" vertical="top" wrapText="1"/>
      <protection/>
    </xf>
    <xf numFmtId="3" fontId="37" fillId="0" borderId="25" xfId="42" applyNumberFormat="1" applyFont="1" applyFill="1" applyBorder="1" applyAlignment="1" applyProtection="1">
      <alignment horizontal="center" vertical="top" wrapText="1"/>
      <protection/>
    </xf>
    <xf numFmtId="3" fontId="37" fillId="0" borderId="38" xfId="42" applyNumberFormat="1" applyFont="1" applyFill="1" applyBorder="1" applyAlignment="1" applyProtection="1">
      <alignment horizontal="center" vertical="top" wrapText="1"/>
      <protection/>
    </xf>
    <xf numFmtId="3" fontId="37" fillId="0" borderId="39" xfId="42" applyNumberFormat="1" applyFont="1" applyFill="1" applyBorder="1" applyAlignment="1" applyProtection="1">
      <alignment horizontal="center" vertical="top" wrapText="1"/>
      <protection/>
    </xf>
    <xf numFmtId="3" fontId="37" fillId="0" borderId="50" xfId="42" applyNumberFormat="1" applyFont="1" applyFill="1" applyBorder="1" applyAlignment="1" applyProtection="1">
      <alignment horizontal="center" vertical="top" wrapText="1"/>
      <protection/>
    </xf>
    <xf numFmtId="3" fontId="37" fillId="0" borderId="0" xfId="42" applyNumberFormat="1" applyFont="1" applyFill="1" applyBorder="1" applyAlignment="1" applyProtection="1">
      <alignment horizontal="center" vertical="top" wrapText="1"/>
      <protection/>
    </xf>
    <xf numFmtId="3" fontId="37" fillId="0" borderId="36" xfId="42" applyNumberFormat="1" applyFont="1" applyFill="1" applyBorder="1" applyAlignment="1" applyProtection="1">
      <alignment horizontal="center" vertical="top" wrapText="1"/>
      <protection/>
    </xf>
    <xf numFmtId="0" fontId="0" fillId="20" borderId="106" xfId="0" applyFont="1" applyFill="1" applyBorder="1" applyAlignment="1" applyProtection="1">
      <alignment horizontal="left" vertical="center" wrapText="1"/>
      <protection/>
    </xf>
    <xf numFmtId="0" fontId="0" fillId="20" borderId="97" xfId="0" applyFont="1" applyFill="1" applyBorder="1" applyAlignment="1" applyProtection="1">
      <alignment horizontal="left" vertical="center" wrapText="1"/>
      <protection/>
    </xf>
    <xf numFmtId="0" fontId="0" fillId="20" borderId="107" xfId="0" applyFont="1" applyFill="1" applyBorder="1" applyAlignment="1" applyProtection="1">
      <alignment horizontal="left" vertical="center" wrapText="1"/>
      <protection/>
    </xf>
    <xf numFmtId="0" fontId="37" fillId="24" borderId="48" xfId="0" applyFont="1" applyFill="1" applyBorder="1" applyAlignment="1" applyProtection="1">
      <alignment horizontal="center"/>
      <protection locked="0"/>
    </xf>
    <xf numFmtId="0" fontId="37" fillId="24" borderId="0" xfId="0" applyFont="1" applyFill="1" applyBorder="1" applyAlignment="1" applyProtection="1">
      <alignment horizontal="center"/>
      <protection locked="0"/>
    </xf>
    <xf numFmtId="0" fontId="37" fillId="24" borderId="36" xfId="0" applyFont="1" applyFill="1" applyBorder="1" applyAlignment="1" applyProtection="1">
      <alignment horizontal="center"/>
      <protection locked="0"/>
    </xf>
    <xf numFmtId="9" fontId="32" fillId="0" borderId="25" xfId="66" applyFont="1" applyFill="1" applyBorder="1" applyAlignment="1" applyProtection="1">
      <alignment horizontal="center"/>
      <protection/>
    </xf>
    <xf numFmtId="9" fontId="32" fillId="0" borderId="39" xfId="66" applyFont="1" applyFill="1" applyBorder="1" applyAlignment="1" applyProtection="1">
      <alignment horizontal="center"/>
      <protection/>
    </xf>
    <xf numFmtId="0" fontId="0" fillId="21" borderId="92" xfId="0" applyFont="1" applyFill="1" applyBorder="1" applyAlignment="1" applyProtection="1">
      <alignment horizontal="center" vertical="center" wrapText="1"/>
      <protection/>
    </xf>
    <xf numFmtId="0" fontId="0" fillId="21" borderId="59" xfId="0" applyFont="1" applyFill="1" applyBorder="1" applyAlignment="1" applyProtection="1">
      <alignment horizontal="center" vertical="center" wrapText="1"/>
      <protection/>
    </xf>
    <xf numFmtId="0" fontId="0" fillId="21" borderId="90" xfId="0" applyFont="1" applyFill="1" applyBorder="1" applyAlignment="1" applyProtection="1">
      <alignment horizontal="center" vertical="center" wrapText="1"/>
      <protection/>
    </xf>
    <xf numFmtId="9" fontId="0" fillId="0" borderId="50" xfId="66" applyFont="1" applyFill="1" applyBorder="1" applyAlignment="1" applyProtection="1">
      <alignment horizontal="center"/>
      <protection/>
    </xf>
    <xf numFmtId="9" fontId="0" fillId="0" borderId="36" xfId="66" applyFont="1" applyFill="1" applyBorder="1" applyAlignment="1" applyProtection="1">
      <alignment horizontal="center"/>
      <protection/>
    </xf>
    <xf numFmtId="0" fontId="12" fillId="21" borderId="32" xfId="0" applyFont="1" applyFill="1" applyBorder="1" applyAlignment="1" applyProtection="1">
      <alignment horizontal="center" wrapText="1"/>
      <protection/>
    </xf>
    <xf numFmtId="0" fontId="12" fillId="21" borderId="28" xfId="0" applyFont="1" applyFill="1" applyBorder="1" applyAlignment="1" applyProtection="1">
      <alignment horizontal="center" wrapText="1"/>
      <protection/>
    </xf>
    <xf numFmtId="0" fontId="0" fillId="20" borderId="55" xfId="0" applyFont="1" applyFill="1" applyBorder="1" applyAlignment="1" applyProtection="1">
      <alignment horizontal="center" vertical="top" wrapText="1"/>
      <protection/>
    </xf>
    <xf numFmtId="0" fontId="0" fillId="20" borderId="42" xfId="0" applyFont="1" applyFill="1" applyBorder="1" applyAlignment="1" applyProtection="1">
      <alignment horizontal="center" vertical="top" wrapText="1"/>
      <protection/>
    </xf>
    <xf numFmtId="0" fontId="37" fillId="0" borderId="38" xfId="0" applyFont="1" applyBorder="1" applyAlignment="1" applyProtection="1">
      <alignment horizontal="center"/>
      <protection/>
    </xf>
    <xf numFmtId="0" fontId="37" fillId="0" borderId="39" xfId="0" applyFont="1" applyBorder="1" applyAlignment="1" applyProtection="1">
      <alignment horizontal="center"/>
      <protection/>
    </xf>
    <xf numFmtId="9" fontId="37" fillId="0" borderId="0" xfId="66" applyFont="1" applyFill="1" applyBorder="1" applyAlignment="1" applyProtection="1">
      <alignment horizontal="center"/>
      <protection/>
    </xf>
    <xf numFmtId="9" fontId="37" fillId="0" borderId="36" xfId="66" applyFont="1" applyFill="1" applyBorder="1" applyAlignment="1" applyProtection="1">
      <alignment horizontal="center"/>
      <protection/>
    </xf>
    <xf numFmtId="2" fontId="37" fillId="24" borderId="48" xfId="0" applyNumberFormat="1" applyFont="1" applyFill="1" applyBorder="1" applyAlignment="1" applyProtection="1">
      <alignment horizontal="center" vertical="top" wrapText="1"/>
      <protection locked="0"/>
    </xf>
    <xf numFmtId="2" fontId="37" fillId="24" borderId="0" xfId="0" applyNumberFormat="1" applyFont="1" applyFill="1" applyBorder="1" applyAlignment="1" applyProtection="1">
      <alignment horizontal="center" vertical="top" wrapText="1"/>
      <protection locked="0"/>
    </xf>
    <xf numFmtId="2" fontId="37" fillId="24" borderId="33" xfId="0" applyNumberFormat="1" applyFont="1" applyFill="1" applyBorder="1" applyAlignment="1" applyProtection="1">
      <alignment horizontal="center" vertical="top" wrapText="1"/>
      <protection locked="0"/>
    </xf>
    <xf numFmtId="0" fontId="12" fillId="21" borderId="38" xfId="0" applyFont="1" applyFill="1" applyBorder="1" applyAlignment="1" applyProtection="1">
      <alignment horizontal="center"/>
      <protection/>
    </xf>
    <xf numFmtId="0" fontId="12" fillId="21" borderId="39" xfId="0" applyFont="1" applyFill="1" applyBorder="1" applyAlignment="1" applyProtection="1">
      <alignment horizontal="center"/>
      <protection/>
    </xf>
    <xf numFmtId="0" fontId="0" fillId="0" borderId="106" xfId="0" applyFont="1" applyFill="1" applyBorder="1" applyAlignment="1" applyProtection="1">
      <alignment horizontal="left" vertical="top" wrapText="1"/>
      <protection/>
    </xf>
    <xf numFmtId="0" fontId="0" fillId="0" borderId="54" xfId="0" applyFont="1" applyFill="1" applyBorder="1" applyAlignment="1" applyProtection="1">
      <alignment horizontal="left" vertical="top" wrapText="1"/>
      <protection/>
    </xf>
    <xf numFmtId="1" fontId="37" fillId="0" borderId="48" xfId="0" applyNumberFormat="1" applyFont="1" applyFill="1" applyBorder="1" applyAlignment="1" applyProtection="1">
      <alignment horizontal="center" vertical="top" wrapText="1"/>
      <protection/>
    </xf>
    <xf numFmtId="1" fontId="37" fillId="0" borderId="33" xfId="0" applyNumberFormat="1" applyFont="1" applyFill="1" applyBorder="1" applyAlignment="1" applyProtection="1">
      <alignment horizontal="center" vertical="top" wrapText="1"/>
      <protection/>
    </xf>
    <xf numFmtId="2" fontId="0" fillId="24" borderId="0" xfId="0" applyNumberFormat="1" applyFill="1" applyBorder="1" applyAlignment="1" applyProtection="1">
      <alignment horizontal="center"/>
      <protection locked="0"/>
    </xf>
    <xf numFmtId="2" fontId="0" fillId="24" borderId="33" xfId="0" applyNumberFormat="1" applyFill="1" applyBorder="1" applyAlignment="1" applyProtection="1">
      <alignment horizontal="center"/>
      <protection locked="0"/>
    </xf>
    <xf numFmtId="0" fontId="54" fillId="31" borderId="108" xfId="0" applyFont="1" applyFill="1" applyBorder="1" applyAlignment="1" applyProtection="1">
      <alignment horizontal="center" wrapText="1"/>
      <protection/>
    </xf>
    <xf numFmtId="0" fontId="54" fillId="31" borderId="109" xfId="0" applyFont="1" applyFill="1" applyBorder="1" applyAlignment="1" applyProtection="1">
      <alignment horizontal="center"/>
      <protection/>
    </xf>
    <xf numFmtId="0" fontId="0" fillId="31" borderId="110" xfId="0" applyFill="1" applyBorder="1" applyAlignment="1" applyProtection="1">
      <alignment/>
      <protection/>
    </xf>
    <xf numFmtId="0" fontId="54" fillId="31" borderId="111" xfId="0" applyFont="1" applyFill="1" applyBorder="1" applyAlignment="1" applyProtection="1">
      <alignment horizontal="center"/>
      <protection/>
    </xf>
    <xf numFmtId="0" fontId="54" fillId="31" borderId="97" xfId="0" applyFont="1" applyFill="1" applyBorder="1" applyAlignment="1" applyProtection="1">
      <alignment horizontal="center"/>
      <protection/>
    </xf>
    <xf numFmtId="0" fontId="0" fillId="31" borderId="107" xfId="0" applyFill="1" applyBorder="1" applyAlignment="1" applyProtection="1">
      <alignment/>
      <protection/>
    </xf>
    <xf numFmtId="0" fontId="37" fillId="24" borderId="57" xfId="0" applyFont="1" applyFill="1" applyBorder="1" applyAlignment="1" applyProtection="1">
      <alignment/>
      <protection locked="0"/>
    </xf>
    <xf numFmtId="0" fontId="37" fillId="24" borderId="55" xfId="0" applyFont="1" applyFill="1" applyBorder="1" applyAlignment="1" applyProtection="1">
      <alignment/>
      <protection locked="0"/>
    </xf>
    <xf numFmtId="0" fontId="37" fillId="24" borderId="42" xfId="0" applyFont="1" applyFill="1" applyBorder="1" applyAlignment="1" applyProtection="1">
      <alignment/>
      <protection locked="0"/>
    </xf>
    <xf numFmtId="0" fontId="37" fillId="24" borderId="25" xfId="0" applyFont="1" applyFill="1" applyBorder="1" applyAlignment="1" applyProtection="1">
      <alignment/>
      <protection locked="0"/>
    </xf>
    <xf numFmtId="0" fontId="37" fillId="24" borderId="38" xfId="0" applyFont="1" applyFill="1" applyBorder="1" applyAlignment="1" applyProtection="1">
      <alignment/>
      <protection locked="0"/>
    </xf>
    <xf numFmtId="0" fontId="37" fillId="24" borderId="39" xfId="0" applyFont="1" applyFill="1" applyBorder="1" applyAlignment="1" applyProtection="1">
      <alignment/>
      <protection locked="0"/>
    </xf>
    <xf numFmtId="0" fontId="37" fillId="24" borderId="50" xfId="0" applyFont="1" applyFill="1" applyBorder="1" applyAlignment="1" applyProtection="1">
      <alignment/>
      <protection locked="0"/>
    </xf>
    <xf numFmtId="0" fontId="37" fillId="24" borderId="0" xfId="0" applyFont="1" applyFill="1" applyBorder="1" applyAlignment="1" applyProtection="1">
      <alignment/>
      <protection locked="0"/>
    </xf>
    <xf numFmtId="0" fontId="37" fillId="24" borderId="36" xfId="0" applyFont="1" applyFill="1" applyBorder="1" applyAlignment="1" applyProtection="1">
      <alignment/>
      <protection locked="0"/>
    </xf>
    <xf numFmtId="0" fontId="18" fillId="24" borderId="25" xfId="56" applyFill="1" applyBorder="1" applyAlignment="1" applyProtection="1">
      <alignment/>
      <protection locked="0"/>
    </xf>
    <xf numFmtId="0" fontId="37" fillId="0" borderId="40" xfId="0" applyFont="1" applyFill="1" applyBorder="1" applyAlignment="1" applyProtection="1">
      <alignment horizontal="center"/>
      <protection/>
    </xf>
    <xf numFmtId="0" fontId="37" fillId="0" borderId="26" xfId="0" applyFont="1" applyFill="1" applyBorder="1" applyAlignment="1" applyProtection="1">
      <alignment horizontal="center"/>
      <protection/>
    </xf>
    <xf numFmtId="0" fontId="37" fillId="0" borderId="41" xfId="0" applyFont="1" applyFill="1" applyBorder="1" applyAlignment="1" applyProtection="1">
      <alignment horizontal="center"/>
      <protection/>
    </xf>
    <xf numFmtId="17" fontId="37" fillId="24" borderId="38" xfId="0" applyNumberFormat="1" applyFont="1" applyFill="1" applyBorder="1" applyAlignment="1" applyProtection="1">
      <alignment horizontal="left"/>
      <protection locked="0"/>
    </xf>
    <xf numFmtId="0" fontId="37" fillId="24" borderId="38" xfId="0" applyFont="1" applyFill="1" applyBorder="1" applyAlignment="1" applyProtection="1">
      <alignment horizontal="left"/>
      <protection locked="0"/>
    </xf>
    <xf numFmtId="0" fontId="37" fillId="24" borderId="39" xfId="0" applyFont="1" applyFill="1" applyBorder="1" applyAlignment="1" applyProtection="1">
      <alignment horizontal="left"/>
      <protection locked="0"/>
    </xf>
    <xf numFmtId="0" fontId="0" fillId="0" borderId="26" xfId="0" applyFont="1" applyFill="1" applyBorder="1" applyAlignment="1" applyProtection="1">
      <alignment horizontal="left"/>
      <protection/>
    </xf>
    <xf numFmtId="0" fontId="0" fillId="0" borderId="26" xfId="0" applyFill="1" applyBorder="1" applyAlignment="1" applyProtection="1">
      <alignment horizontal="left"/>
      <protection/>
    </xf>
    <xf numFmtId="0" fontId="37" fillId="24" borderId="25" xfId="0" applyFont="1" applyFill="1" applyBorder="1" applyAlignment="1" applyProtection="1">
      <alignment horizontal="left"/>
      <protection locked="0"/>
    </xf>
    <xf numFmtId="0" fontId="37" fillId="6" borderId="48" xfId="0" applyFont="1" applyFill="1" applyBorder="1" applyAlignment="1" applyProtection="1">
      <alignment horizontal="center" vertical="top" wrapText="1"/>
      <protection locked="0"/>
    </xf>
    <xf numFmtId="0" fontId="37" fillId="6" borderId="0" xfId="0" applyFont="1" applyFill="1" applyBorder="1" applyAlignment="1" applyProtection="1">
      <alignment horizontal="center" vertical="top" wrapText="1"/>
      <protection locked="0"/>
    </xf>
    <xf numFmtId="0" fontId="37" fillId="6" borderId="33" xfId="0" applyFont="1" applyFill="1" applyBorder="1" applyAlignment="1" applyProtection="1">
      <alignment horizontal="center" vertical="top" wrapText="1"/>
      <protection locked="0"/>
    </xf>
    <xf numFmtId="1" fontId="37" fillId="0" borderId="0" xfId="0" applyNumberFormat="1" applyFont="1" applyFill="1" applyBorder="1" applyAlignment="1" applyProtection="1">
      <alignment horizontal="center" vertical="top" wrapText="1"/>
      <protection/>
    </xf>
    <xf numFmtId="0" fontId="37" fillId="24" borderId="63" xfId="0" applyFont="1" applyFill="1" applyBorder="1" applyAlignment="1" applyProtection="1">
      <alignment horizontal="center" vertical="top" wrapText="1"/>
      <protection locked="0"/>
    </xf>
    <xf numFmtId="0" fontId="37" fillId="24" borderId="54" xfId="0" applyFont="1" applyFill="1" applyBorder="1" applyAlignment="1" applyProtection="1">
      <alignment horizontal="center" vertical="top" wrapText="1"/>
      <protection locked="0"/>
    </xf>
    <xf numFmtId="0" fontId="37" fillId="24" borderId="48" xfId="0" applyFont="1" applyFill="1" applyBorder="1" applyAlignment="1" applyProtection="1">
      <alignment horizontal="center" vertical="top" wrapText="1"/>
      <protection locked="0"/>
    </xf>
    <xf numFmtId="0" fontId="37" fillId="24" borderId="33" xfId="0" applyFont="1" applyFill="1" applyBorder="1" applyAlignment="1" applyProtection="1">
      <alignment horizontal="center" vertical="top" wrapText="1"/>
      <protection locked="0"/>
    </xf>
    <xf numFmtId="0" fontId="0" fillId="20" borderId="112" xfId="0" applyFont="1" applyFill="1" applyBorder="1" applyAlignment="1" applyProtection="1">
      <alignment horizontal="left" wrapText="1"/>
      <protection/>
    </xf>
    <xf numFmtId="0" fontId="0" fillId="20" borderId="89" xfId="0" applyFont="1" applyFill="1" applyBorder="1" applyAlignment="1" applyProtection="1">
      <alignment horizontal="left" wrapText="1"/>
      <protection/>
    </xf>
    <xf numFmtId="0" fontId="0" fillId="20" borderId="88" xfId="0" applyFont="1" applyFill="1" applyBorder="1" applyAlignment="1" applyProtection="1">
      <alignment horizontal="left" wrapText="1"/>
      <protection/>
    </xf>
    <xf numFmtId="0" fontId="0" fillId="0" borderId="89" xfId="0" applyBorder="1" applyAlignment="1" applyProtection="1">
      <alignment horizontal="left" wrapText="1"/>
      <protection/>
    </xf>
    <xf numFmtId="0" fontId="0" fillId="0" borderId="88" xfId="0" applyBorder="1" applyAlignment="1" applyProtection="1">
      <alignment horizontal="left" wrapText="1"/>
      <protection/>
    </xf>
    <xf numFmtId="0" fontId="0" fillId="0" borderId="50" xfId="0" applyFont="1" applyFill="1" applyBorder="1" applyAlignment="1" applyProtection="1">
      <alignment horizontal="left" vertical="top" wrapText="1"/>
      <protection/>
    </xf>
    <xf numFmtId="0" fontId="0" fillId="0" borderId="33" xfId="0" applyFont="1" applyFill="1" applyBorder="1" applyAlignment="1" applyProtection="1">
      <alignment horizontal="left" vertical="top" wrapText="1"/>
      <protection/>
    </xf>
    <xf numFmtId="0" fontId="0" fillId="0" borderId="40" xfId="0" applyFill="1" applyBorder="1" applyAlignment="1" applyProtection="1">
      <alignment horizontal="left"/>
      <protection/>
    </xf>
    <xf numFmtId="0" fontId="0" fillId="0" borderId="41" xfId="0" applyFill="1" applyBorder="1" applyAlignment="1" applyProtection="1">
      <alignment horizontal="left"/>
      <protection/>
    </xf>
    <xf numFmtId="0" fontId="0" fillId="0" borderId="25" xfId="0" applyFill="1" applyBorder="1" applyAlignment="1" applyProtection="1">
      <alignment horizontal="left"/>
      <protection/>
    </xf>
    <xf numFmtId="0" fontId="0" fillId="0" borderId="39" xfId="0" applyFill="1" applyBorder="1" applyAlignment="1" applyProtection="1">
      <alignment horizontal="left"/>
      <protection/>
    </xf>
    <xf numFmtId="0" fontId="0" fillId="20" borderId="57" xfId="0" applyFont="1" applyFill="1" applyBorder="1" applyAlignment="1" applyProtection="1">
      <alignment horizontal="left" vertical="top" wrapText="1"/>
      <protection/>
    </xf>
    <xf numFmtId="0" fontId="0" fillId="20" borderId="42"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0" fontId="0" fillId="0" borderId="39" xfId="0" applyFont="1" applyFill="1" applyBorder="1" applyAlignment="1" applyProtection="1">
      <alignment horizontal="left" vertical="top" wrapText="1"/>
      <protection/>
    </xf>
    <xf numFmtId="0" fontId="0" fillId="0" borderId="55" xfId="0" applyFont="1" applyFill="1" applyBorder="1" applyAlignment="1" applyProtection="1">
      <alignment horizontal="left"/>
      <protection/>
    </xf>
    <xf numFmtId="0" fontId="0" fillId="0" borderId="38" xfId="0" applyFont="1" applyFill="1" applyBorder="1" applyAlignment="1" applyProtection="1">
      <alignment horizontal="left"/>
      <protection/>
    </xf>
    <xf numFmtId="0" fontId="37" fillId="24" borderId="26" xfId="0" applyFont="1" applyFill="1" applyBorder="1" applyAlignment="1" applyProtection="1">
      <alignment horizontal="left"/>
      <protection locked="0"/>
    </xf>
    <xf numFmtId="0" fontId="37" fillId="24" borderId="41" xfId="0" applyFont="1" applyFill="1" applyBorder="1" applyAlignment="1" applyProtection="1">
      <alignment horizontal="left"/>
      <protection locked="0"/>
    </xf>
    <xf numFmtId="0" fontId="0" fillId="0" borderId="0" xfId="0" applyFont="1" applyFill="1" applyBorder="1" applyAlignment="1" applyProtection="1">
      <alignment horizontal="left"/>
      <protection/>
    </xf>
    <xf numFmtId="0" fontId="0" fillId="0" borderId="0" xfId="0" applyFill="1" applyBorder="1" applyAlignment="1" applyProtection="1">
      <alignment horizontal="left"/>
      <protection/>
    </xf>
    <xf numFmtId="0" fontId="37" fillId="24" borderId="55" xfId="0" applyFont="1" applyFill="1" applyBorder="1" applyAlignment="1" applyProtection="1">
      <alignment horizontal="left"/>
      <protection locked="0"/>
    </xf>
    <xf numFmtId="0" fontId="37" fillId="24" borderId="42" xfId="0" applyFont="1" applyFill="1" applyBorder="1" applyAlignment="1" applyProtection="1">
      <alignment horizontal="left"/>
      <protection locked="0"/>
    </xf>
    <xf numFmtId="0" fontId="0" fillId="21" borderId="53" xfId="0" applyFont="1" applyFill="1" applyBorder="1" applyAlignment="1" applyProtection="1">
      <alignment horizontal="center" vertical="center" wrapText="1"/>
      <protection/>
    </xf>
    <xf numFmtId="0" fontId="0" fillId="0" borderId="26" xfId="0" applyFont="1" applyFill="1" applyBorder="1" applyAlignment="1" applyProtection="1">
      <alignment horizontal="left" vertical="top" wrapText="1"/>
      <protection/>
    </xf>
    <xf numFmtId="0" fontId="37" fillId="6" borderId="94" xfId="0" applyFont="1" applyFill="1" applyBorder="1" applyAlignment="1" applyProtection="1">
      <alignment horizontal="center" vertical="top" wrapText="1"/>
      <protection locked="0"/>
    </xf>
    <xf numFmtId="0" fontId="37" fillId="6" borderId="26" xfId="0" applyFont="1" applyFill="1" applyBorder="1" applyAlignment="1" applyProtection="1">
      <alignment horizontal="center" vertical="top" wrapText="1"/>
      <protection locked="0"/>
    </xf>
    <xf numFmtId="0" fontId="37" fillId="6" borderId="113" xfId="0" applyFont="1" applyFill="1" applyBorder="1" applyAlignment="1" applyProtection="1">
      <alignment horizontal="center" vertical="top" wrapText="1"/>
      <protection locked="0"/>
    </xf>
    <xf numFmtId="0" fontId="0" fillId="0" borderId="114" xfId="0" applyFont="1" applyFill="1" applyBorder="1" applyAlignment="1" applyProtection="1">
      <alignment horizontal="left" vertical="top" wrapText="1"/>
      <protection/>
    </xf>
    <xf numFmtId="0" fontId="0" fillId="0" borderId="62" xfId="0" applyFont="1" applyFill="1" applyBorder="1" applyAlignment="1" applyProtection="1">
      <alignment horizontal="left" vertical="top" wrapText="1"/>
      <protection/>
    </xf>
    <xf numFmtId="0" fontId="0" fillId="20" borderId="50" xfId="0" applyFont="1" applyFill="1" applyBorder="1" applyAlignment="1" applyProtection="1">
      <alignment horizontal="left" wrapText="1"/>
      <protection/>
    </xf>
    <xf numFmtId="0" fontId="0" fillId="20" borderId="0" xfId="0" applyFont="1" applyFill="1" applyBorder="1" applyAlignment="1" applyProtection="1">
      <alignment horizontal="left" wrapText="1"/>
      <protection/>
    </xf>
    <xf numFmtId="0" fontId="0" fillId="20" borderId="36" xfId="0" applyFont="1" applyFill="1" applyBorder="1" applyAlignment="1" applyProtection="1">
      <alignment horizontal="left" wrapText="1"/>
      <protection/>
    </xf>
    <xf numFmtId="9" fontId="37" fillId="0" borderId="99" xfId="66" applyFont="1" applyFill="1" applyBorder="1" applyAlignment="1" applyProtection="1">
      <alignment horizontal="center"/>
      <protection/>
    </xf>
    <xf numFmtId="9" fontId="37" fillId="0" borderId="102" xfId="66" applyFont="1" applyFill="1" applyBorder="1" applyAlignment="1" applyProtection="1">
      <alignment horizontal="center"/>
      <protection/>
    </xf>
    <xf numFmtId="0" fontId="18" fillId="24" borderId="26" xfId="56" applyFill="1" applyBorder="1" applyAlignment="1" applyProtection="1">
      <alignment horizontal="left"/>
      <protection locked="0"/>
    </xf>
    <xf numFmtId="0" fontId="37" fillId="0" borderId="50" xfId="0" applyFont="1" applyBorder="1" applyAlignment="1" applyProtection="1">
      <alignment horizontal="center"/>
      <protection/>
    </xf>
    <xf numFmtId="0" fontId="37" fillId="0" borderId="0" xfId="0" applyFont="1" applyBorder="1" applyAlignment="1" applyProtection="1">
      <alignment horizontal="center"/>
      <protection/>
    </xf>
    <xf numFmtId="0" fontId="37" fillId="0" borderId="36" xfId="0" applyFont="1" applyBorder="1" applyAlignment="1" applyProtection="1">
      <alignment horizontal="center"/>
      <protection/>
    </xf>
    <xf numFmtId="0" fontId="37" fillId="24" borderId="0" xfId="0" applyFont="1" applyFill="1" applyBorder="1" applyAlignment="1" applyProtection="1">
      <alignment horizontal="center" vertical="top" wrapText="1"/>
      <protection locked="0"/>
    </xf>
    <xf numFmtId="0" fontId="37" fillId="0" borderId="48" xfId="0" applyFont="1" applyFill="1" applyBorder="1" applyAlignment="1" applyProtection="1">
      <alignment horizontal="center" vertical="top" wrapText="1"/>
      <protection/>
    </xf>
    <xf numFmtId="0" fontId="37" fillId="0" borderId="0" xfId="0" applyFont="1" applyFill="1" applyBorder="1" applyAlignment="1" applyProtection="1">
      <alignment horizontal="center" vertical="top" wrapText="1"/>
      <protection/>
    </xf>
    <xf numFmtId="0" fontId="37" fillId="0" borderId="33" xfId="0" applyFont="1" applyFill="1" applyBorder="1" applyAlignment="1" applyProtection="1">
      <alignment horizontal="center" vertical="top" wrapText="1"/>
      <protection/>
    </xf>
    <xf numFmtId="166" fontId="37" fillId="0" borderId="0" xfId="0" applyNumberFormat="1" applyFont="1" applyFill="1" applyBorder="1" applyAlignment="1" applyProtection="1">
      <alignment horizontal="left" vertical="top" wrapText="1"/>
      <protection/>
    </xf>
    <xf numFmtId="166" fontId="37" fillId="0" borderId="33" xfId="0" applyNumberFormat="1" applyFont="1" applyFill="1" applyBorder="1" applyAlignment="1" applyProtection="1">
      <alignment horizontal="left" vertical="top" wrapText="1"/>
      <protection/>
    </xf>
    <xf numFmtId="9" fontId="37" fillId="24" borderId="48" xfId="0" applyNumberFormat="1" applyFont="1" applyFill="1" applyBorder="1" applyAlignment="1" applyProtection="1">
      <alignment horizontal="center" vertical="top" wrapText="1"/>
      <protection locked="0"/>
    </xf>
    <xf numFmtId="0" fontId="8" fillId="0" borderId="50" xfId="0" applyFont="1" applyFill="1" applyBorder="1" applyAlignment="1" applyProtection="1">
      <alignment horizontal="left"/>
      <protection/>
    </xf>
    <xf numFmtId="0" fontId="8" fillId="0" borderId="0" xfId="0" applyFont="1" applyFill="1" applyBorder="1" applyAlignment="1" applyProtection="1">
      <alignment horizontal="left"/>
      <protection/>
    </xf>
    <xf numFmtId="0" fontId="8" fillId="0" borderId="33" xfId="0" applyFont="1" applyFill="1" applyBorder="1" applyAlignment="1" applyProtection="1">
      <alignment horizontal="left"/>
      <protection/>
    </xf>
    <xf numFmtId="0" fontId="0" fillId="0" borderId="41"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2" fontId="37" fillId="0" borderId="48" xfId="0" applyNumberFormat="1" applyFont="1" applyFill="1" applyBorder="1" applyAlignment="1" applyProtection="1">
      <alignment horizontal="center" vertical="top" wrapText="1"/>
      <protection/>
    </xf>
    <xf numFmtId="2" fontId="0" fillId="0" borderId="0" xfId="0" applyNumberFormat="1" applyBorder="1" applyAlignment="1" applyProtection="1">
      <alignment horizontal="center"/>
      <protection/>
    </xf>
    <xf numFmtId="2" fontId="0" fillId="0" borderId="33" xfId="0" applyNumberFormat="1" applyBorder="1" applyAlignment="1" applyProtection="1">
      <alignment horizontal="center"/>
      <protection/>
    </xf>
    <xf numFmtId="2" fontId="37" fillId="24" borderId="48" xfId="0" applyNumberFormat="1" applyFont="1" applyFill="1" applyBorder="1" applyAlignment="1" applyProtection="1">
      <alignment horizontal="center"/>
      <protection locked="0"/>
    </xf>
    <xf numFmtId="2" fontId="37" fillId="24" borderId="0" xfId="0" applyNumberFormat="1" applyFont="1" applyFill="1" applyBorder="1" applyAlignment="1" applyProtection="1">
      <alignment horizontal="center"/>
      <protection locked="0"/>
    </xf>
    <xf numFmtId="2" fontId="37" fillId="24" borderId="36" xfId="0" applyNumberFormat="1" applyFont="1" applyFill="1" applyBorder="1" applyAlignment="1" applyProtection="1">
      <alignment horizontal="center"/>
      <protection locked="0"/>
    </xf>
    <xf numFmtId="0" fontId="37" fillId="0" borderId="0" xfId="0" applyFont="1" applyFill="1" applyBorder="1" applyAlignment="1" applyProtection="1">
      <alignment horizontal="left"/>
      <protection/>
    </xf>
    <xf numFmtId="0" fontId="37" fillId="0" borderId="36" xfId="0" applyFont="1" applyFill="1" applyBorder="1" applyAlignment="1" applyProtection="1">
      <alignment horizontal="left"/>
      <protection/>
    </xf>
    <xf numFmtId="0" fontId="0" fillId="0" borderId="57" xfId="0" applyFill="1" applyBorder="1" applyAlignment="1" applyProtection="1">
      <alignment horizontal="left"/>
      <protection/>
    </xf>
    <xf numFmtId="0" fontId="0" fillId="0" borderId="42" xfId="0" applyFill="1" applyBorder="1" applyAlignment="1" applyProtection="1">
      <alignment horizontal="left"/>
      <protection/>
    </xf>
    <xf numFmtId="0" fontId="8" fillId="0" borderId="55" xfId="0" applyFont="1" applyFill="1" applyBorder="1" applyAlignment="1" applyProtection="1">
      <alignment horizontal="left" vertical="top"/>
      <protection/>
    </xf>
    <xf numFmtId="0" fontId="8" fillId="0" borderId="91" xfId="0" applyFont="1" applyFill="1" applyBorder="1" applyAlignment="1" applyProtection="1">
      <alignment horizontal="left" vertical="top"/>
      <protection/>
    </xf>
    <xf numFmtId="0" fontId="0" fillId="0" borderId="25" xfId="0" applyFont="1" applyFill="1" applyBorder="1" applyAlignment="1" applyProtection="1">
      <alignment horizontal="left" vertical="top" wrapText="1"/>
      <protection/>
    </xf>
    <xf numFmtId="0" fontId="0" fillId="0" borderId="55" xfId="0" applyFill="1" applyBorder="1" applyAlignment="1" applyProtection="1">
      <alignment horizontal="left"/>
      <protection/>
    </xf>
    <xf numFmtId="0" fontId="37" fillId="24" borderId="25" xfId="0" applyFont="1" applyFill="1" applyBorder="1" applyAlignment="1" applyProtection="1">
      <alignment horizontal="left" vertical="top" wrapText="1"/>
      <protection locked="0"/>
    </xf>
    <xf numFmtId="0" fontId="37" fillId="24" borderId="38" xfId="0" applyFont="1" applyFill="1" applyBorder="1" applyAlignment="1" applyProtection="1">
      <alignment horizontal="left" vertical="top" wrapText="1"/>
      <protection locked="0"/>
    </xf>
    <xf numFmtId="0" fontId="37" fillId="24" borderId="39" xfId="0" applyFont="1" applyFill="1" applyBorder="1" applyAlignment="1" applyProtection="1">
      <alignment horizontal="left" vertical="top" wrapText="1"/>
      <protection locked="0"/>
    </xf>
    <xf numFmtId="0" fontId="37" fillId="0" borderId="25" xfId="0" applyFont="1" applyFill="1" applyBorder="1" applyAlignment="1" applyProtection="1">
      <alignment horizontal="left" vertical="top" wrapText="1"/>
      <protection/>
    </xf>
    <xf numFmtId="0" fontId="37" fillId="0" borderId="38" xfId="0" applyFont="1" applyFill="1" applyBorder="1" applyAlignment="1" applyProtection="1">
      <alignment horizontal="left" vertical="top" wrapText="1"/>
      <protection/>
    </xf>
    <xf numFmtId="0" fontId="37" fillId="0" borderId="39" xfId="0" applyFont="1" applyFill="1" applyBorder="1" applyAlignment="1" applyProtection="1">
      <alignment horizontal="left" vertical="top" wrapText="1"/>
      <protection/>
    </xf>
    <xf numFmtId="0" fontId="37" fillId="0" borderId="55" xfId="0" applyFont="1" applyFill="1" applyBorder="1" applyAlignment="1" applyProtection="1">
      <alignment horizontal="center" vertical="top" wrapText="1"/>
      <protection/>
    </xf>
    <xf numFmtId="0" fontId="37" fillId="0" borderId="42" xfId="0" applyFont="1" applyFill="1" applyBorder="1" applyAlignment="1" applyProtection="1">
      <alignment horizontal="center" vertical="top" wrapText="1"/>
      <protection/>
    </xf>
    <xf numFmtId="0" fontId="37" fillId="0" borderId="26" xfId="0" applyFont="1" applyFill="1" applyBorder="1" applyAlignment="1" applyProtection="1">
      <alignment horizontal="center" vertical="top" wrapText="1"/>
      <protection/>
    </xf>
    <xf numFmtId="0" fontId="37" fillId="0" borderId="41" xfId="0" applyFont="1" applyFill="1" applyBorder="1" applyAlignment="1" applyProtection="1">
      <alignment horizontal="center" vertical="top" wrapText="1"/>
      <protection/>
    </xf>
    <xf numFmtId="1" fontId="37" fillId="0" borderId="38" xfId="0" applyNumberFormat="1" applyFont="1" applyFill="1" applyBorder="1" applyAlignment="1" applyProtection="1">
      <alignment horizontal="center"/>
      <protection/>
    </xf>
    <xf numFmtId="1" fontId="37" fillId="0" borderId="39" xfId="0" applyNumberFormat="1" applyFont="1" applyFill="1" applyBorder="1" applyAlignment="1" applyProtection="1">
      <alignment horizontal="center"/>
      <protection/>
    </xf>
    <xf numFmtId="0" fontId="0" fillId="0" borderId="38" xfId="0" applyFill="1" applyBorder="1" applyAlignment="1" applyProtection="1">
      <alignment horizontal="left"/>
      <protection/>
    </xf>
    <xf numFmtId="9" fontId="37" fillId="24" borderId="48" xfId="0" applyNumberFormat="1" applyFont="1" applyFill="1" applyBorder="1" applyAlignment="1" applyProtection="1">
      <alignment horizontal="center"/>
      <protection locked="0"/>
    </xf>
    <xf numFmtId="0" fontId="31" fillId="0" borderId="26" xfId="0" applyFont="1" applyBorder="1" applyAlignment="1" applyProtection="1">
      <alignment horizontal="left" vertical="top" wrapText="1"/>
      <protection/>
    </xf>
    <xf numFmtId="0" fontId="31" fillId="0" borderId="0" xfId="0" applyFont="1" applyBorder="1" applyAlignment="1" applyProtection="1">
      <alignment horizontal="left" vertical="top" wrapText="1"/>
      <protection/>
    </xf>
    <xf numFmtId="0" fontId="0" fillId="21" borderId="52" xfId="0" applyFont="1" applyFill="1" applyBorder="1" applyAlignment="1" applyProtection="1">
      <alignment horizontal="center" vertical="center" wrapText="1"/>
      <protection/>
    </xf>
    <xf numFmtId="0" fontId="8" fillId="0" borderId="26" xfId="0" applyFont="1" applyFill="1" applyBorder="1" applyAlignment="1" applyProtection="1">
      <alignment horizontal="left"/>
      <protection/>
    </xf>
    <xf numFmtId="0" fontId="8" fillId="0" borderId="113" xfId="0" applyFont="1" applyFill="1" applyBorder="1" applyAlignment="1" applyProtection="1">
      <alignment horizontal="left"/>
      <protection/>
    </xf>
    <xf numFmtId="0" fontId="0" fillId="0" borderId="50" xfId="0" applyFont="1" applyFill="1" applyBorder="1" applyAlignment="1" applyProtection="1">
      <alignment horizontal="left" vertical="top" wrapText="1"/>
      <protection/>
    </xf>
    <xf numFmtId="0" fontId="37" fillId="6" borderId="94" xfId="0" applyFont="1" applyFill="1" applyBorder="1" applyAlignment="1" applyProtection="1">
      <alignment horizontal="center"/>
      <protection locked="0"/>
    </xf>
    <xf numFmtId="0" fontId="37" fillId="6" borderId="26" xfId="0" applyFont="1" applyFill="1" applyBorder="1" applyAlignment="1" applyProtection="1">
      <alignment horizontal="center"/>
      <protection locked="0"/>
    </xf>
    <xf numFmtId="0" fontId="37" fillId="6" borderId="41" xfId="0" applyFont="1" applyFill="1" applyBorder="1" applyAlignment="1" applyProtection="1">
      <alignment horizontal="center"/>
      <protection locked="0"/>
    </xf>
    <xf numFmtId="0" fontId="0" fillId="20" borderId="89" xfId="0" applyFont="1" applyFill="1" applyBorder="1" applyAlignment="1" applyProtection="1">
      <alignment horizontal="left" vertical="top" wrapText="1"/>
      <protection/>
    </xf>
    <xf numFmtId="0" fontId="0" fillId="20" borderId="88" xfId="0" applyFont="1" applyFill="1" applyBorder="1" applyAlignment="1" applyProtection="1">
      <alignment horizontal="left" vertical="top" wrapText="1"/>
      <protection/>
    </xf>
    <xf numFmtId="0" fontId="37" fillId="6" borderId="48" xfId="0" applyFont="1" applyFill="1" applyBorder="1" applyAlignment="1" applyProtection="1">
      <alignment horizontal="center"/>
      <protection locked="0"/>
    </xf>
    <xf numFmtId="0" fontId="37" fillId="6" borderId="0" xfId="0" applyFont="1" applyFill="1" applyBorder="1" applyAlignment="1" applyProtection="1">
      <alignment horizontal="center"/>
      <protection locked="0"/>
    </xf>
    <xf numFmtId="0" fontId="37" fillId="6" borderId="36" xfId="0" applyFont="1" applyFill="1" applyBorder="1" applyAlignment="1" applyProtection="1">
      <alignment horizontal="center"/>
      <protection locked="0"/>
    </xf>
    <xf numFmtId="0" fontId="0" fillId="0" borderId="0" xfId="0" applyFont="1" applyFill="1" applyBorder="1" applyAlignment="1" applyProtection="1">
      <alignment horizontal="left" vertical="top" wrapText="1" indent="1"/>
      <protection/>
    </xf>
    <xf numFmtId="0" fontId="0" fillId="0" borderId="33" xfId="0" applyBorder="1" applyAlignment="1" applyProtection="1">
      <alignment/>
      <protection/>
    </xf>
    <xf numFmtId="166" fontId="37" fillId="0" borderId="48" xfId="0" applyNumberFormat="1" applyFont="1" applyBorder="1" applyAlignment="1" applyProtection="1">
      <alignment horizontal="right"/>
      <protection/>
    </xf>
    <xf numFmtId="166" fontId="37" fillId="0" borderId="0" xfId="0" applyNumberFormat="1" applyFont="1" applyBorder="1" applyAlignment="1" applyProtection="1">
      <alignment horizontal="right"/>
      <protection/>
    </xf>
    <xf numFmtId="166" fontId="37" fillId="0" borderId="48" xfId="0" applyNumberFormat="1" applyFont="1" applyFill="1" applyBorder="1" applyAlignment="1" applyProtection="1">
      <alignment horizontal="right"/>
      <protection/>
    </xf>
    <xf numFmtId="166" fontId="37" fillId="0" borderId="0" xfId="0" applyNumberFormat="1" applyFont="1" applyFill="1" applyBorder="1" applyAlignment="1" applyProtection="1">
      <alignment horizontal="right"/>
      <protection/>
    </xf>
    <xf numFmtId="0" fontId="0" fillId="0" borderId="33" xfId="0" applyFont="1" applyFill="1" applyBorder="1" applyAlignment="1" applyProtection="1">
      <alignment horizontal="left" vertical="top" wrapText="1" indent="1"/>
      <protection/>
    </xf>
    <xf numFmtId="0" fontId="12" fillId="21" borderId="57" xfId="0" applyFont="1" applyFill="1" applyBorder="1" applyAlignment="1" applyProtection="1">
      <alignment horizontal="center" wrapText="1"/>
      <protection/>
    </xf>
    <xf numFmtId="0" fontId="12" fillId="21" borderId="42" xfId="0" applyFont="1" applyFill="1" applyBorder="1" applyAlignment="1" applyProtection="1">
      <alignment horizontal="center" wrapText="1"/>
      <protection/>
    </xf>
    <xf numFmtId="0" fontId="12" fillId="21" borderId="40" xfId="0" applyFont="1" applyFill="1" applyBorder="1" applyAlignment="1" applyProtection="1">
      <alignment horizontal="center" wrapText="1"/>
      <protection/>
    </xf>
    <xf numFmtId="0" fontId="12" fillId="21" borderId="41" xfId="0" applyFont="1" applyFill="1" applyBorder="1" applyAlignment="1" applyProtection="1">
      <alignment horizontal="center" wrapText="1"/>
      <protection/>
    </xf>
    <xf numFmtId="166" fontId="37" fillId="0" borderId="48" xfId="0" applyNumberFormat="1" applyFont="1" applyFill="1" applyBorder="1" applyAlignment="1" applyProtection="1">
      <alignment horizontal="center" vertical="top" wrapText="1"/>
      <protection/>
    </xf>
    <xf numFmtId="166" fontId="37" fillId="0" borderId="0" xfId="0" applyNumberFormat="1" applyFont="1" applyFill="1" applyBorder="1" applyAlignment="1" applyProtection="1">
      <alignment horizontal="center" vertical="top" wrapText="1"/>
      <protection/>
    </xf>
    <xf numFmtId="166" fontId="37" fillId="0" borderId="33" xfId="0" applyNumberFormat="1" applyFont="1" applyFill="1" applyBorder="1" applyAlignment="1" applyProtection="1">
      <alignment horizontal="center" vertical="top" wrapText="1"/>
      <protection/>
    </xf>
    <xf numFmtId="0" fontId="0" fillId="0" borderId="57" xfId="0" applyFont="1" applyFill="1" applyBorder="1" applyAlignment="1" applyProtection="1">
      <alignment horizontal="left"/>
      <protection/>
    </xf>
    <xf numFmtId="0" fontId="0" fillId="0" borderId="42" xfId="0" applyFont="1" applyFill="1" applyBorder="1" applyAlignment="1" applyProtection="1">
      <alignment horizontal="left"/>
      <protection/>
    </xf>
    <xf numFmtId="0" fontId="0" fillId="0" borderId="25" xfId="0" applyFont="1" applyFill="1" applyBorder="1" applyAlignment="1" applyProtection="1">
      <alignment horizontal="left"/>
      <protection/>
    </xf>
    <xf numFmtId="0" fontId="0" fillId="0" borderId="39" xfId="0" applyFont="1" applyFill="1" applyBorder="1" applyAlignment="1" applyProtection="1">
      <alignment horizontal="left"/>
      <protection/>
    </xf>
    <xf numFmtId="0" fontId="0" fillId="0" borderId="50" xfId="0" applyFill="1" applyBorder="1" applyAlignment="1" applyProtection="1">
      <alignment horizontal="left"/>
      <protection/>
    </xf>
    <xf numFmtId="0" fontId="0" fillId="0" borderId="36" xfId="0" applyFill="1" applyBorder="1" applyAlignment="1" applyProtection="1">
      <alignment horizontal="left"/>
      <protection/>
    </xf>
    <xf numFmtId="0" fontId="37" fillId="24" borderId="97" xfId="0" applyFont="1" applyFill="1" applyBorder="1" applyAlignment="1" applyProtection="1">
      <alignment horizontal="center" vertical="top" wrapText="1"/>
      <protection locked="0"/>
    </xf>
    <xf numFmtId="0" fontId="0" fillId="0" borderId="99" xfId="0" applyFont="1" applyFill="1" applyBorder="1" applyAlignment="1" applyProtection="1">
      <alignment horizontal="left" vertical="top" wrapText="1"/>
      <protection/>
    </xf>
    <xf numFmtId="1" fontId="37" fillId="0" borderId="48" xfId="0" applyNumberFormat="1" applyFont="1" applyBorder="1" applyAlignment="1" applyProtection="1">
      <alignment horizontal="center"/>
      <protection/>
    </xf>
    <xf numFmtId="0" fontId="37" fillId="0" borderId="48" xfId="0" applyFont="1" applyFill="1" applyBorder="1" applyAlignment="1" applyProtection="1">
      <alignment horizontal="center"/>
      <protection/>
    </xf>
    <xf numFmtId="0" fontId="37" fillId="0" borderId="0" xfId="0" applyFont="1" applyFill="1" applyBorder="1" applyAlignment="1" applyProtection="1">
      <alignment horizontal="center"/>
      <protection/>
    </xf>
    <xf numFmtId="0" fontId="37" fillId="0" borderId="36" xfId="0" applyFont="1" applyFill="1" applyBorder="1" applyAlignment="1" applyProtection="1">
      <alignment horizontal="center"/>
      <protection/>
    </xf>
    <xf numFmtId="0" fontId="37" fillId="0" borderId="48" xfId="0" applyFont="1" applyBorder="1" applyAlignment="1" applyProtection="1">
      <alignment horizontal="center"/>
      <protection/>
    </xf>
    <xf numFmtId="0" fontId="0" fillId="20" borderId="98" xfId="0" applyFont="1" applyFill="1" applyBorder="1" applyAlignment="1" applyProtection="1">
      <alignment horizontal="left" vertical="top" wrapText="1"/>
      <protection/>
    </xf>
    <xf numFmtId="0" fontId="0" fillId="20" borderId="17" xfId="0" applyFont="1" applyFill="1" applyBorder="1" applyAlignment="1" applyProtection="1">
      <alignment horizontal="left" vertical="top" wrapText="1"/>
      <protection/>
    </xf>
    <xf numFmtId="0" fontId="0" fillId="20" borderId="13" xfId="0" applyFont="1" applyFill="1" applyBorder="1" applyAlignment="1" applyProtection="1">
      <alignment horizontal="left" vertical="top" wrapText="1"/>
      <protection/>
    </xf>
    <xf numFmtId="0" fontId="0" fillId="20" borderId="50" xfId="0" applyFont="1" applyFill="1" applyBorder="1" applyAlignment="1" applyProtection="1">
      <alignment horizontal="left" vertical="top" wrapText="1"/>
      <protection/>
    </xf>
    <xf numFmtId="0" fontId="0" fillId="20" borderId="0" xfId="0" applyFont="1" applyFill="1" applyBorder="1" applyAlignment="1" applyProtection="1">
      <alignment horizontal="left" vertical="top" wrapText="1"/>
      <protection/>
    </xf>
    <xf numFmtId="0" fontId="0" fillId="0" borderId="36" xfId="0" applyBorder="1" applyAlignment="1" applyProtection="1">
      <alignment horizontal="left" vertical="top" wrapText="1"/>
      <protection/>
    </xf>
    <xf numFmtId="0" fontId="37" fillId="24" borderId="36" xfId="0" applyFont="1" applyFill="1" applyBorder="1" applyAlignment="1" applyProtection="1">
      <alignment horizontal="center" vertical="top" wrapText="1"/>
      <protection locked="0"/>
    </xf>
    <xf numFmtId="2" fontId="37" fillId="0" borderId="0" xfId="0" applyNumberFormat="1" applyFont="1" applyFill="1" applyBorder="1" applyAlignment="1" applyProtection="1">
      <alignment horizontal="center" vertical="top" wrapText="1"/>
      <protection/>
    </xf>
    <xf numFmtId="2" fontId="37" fillId="0" borderId="36" xfId="0" applyNumberFormat="1" applyFont="1" applyFill="1" applyBorder="1" applyAlignment="1" applyProtection="1">
      <alignment horizontal="center" vertical="top" wrapText="1"/>
      <protection/>
    </xf>
    <xf numFmtId="0" fontId="37" fillId="24" borderId="107" xfId="0" applyFont="1" applyFill="1" applyBorder="1" applyAlignment="1" applyProtection="1">
      <alignment horizontal="center" vertical="top" wrapText="1"/>
      <protection locked="0"/>
    </xf>
    <xf numFmtId="0" fontId="37" fillId="24" borderId="93" xfId="0" applyFont="1" applyFill="1" applyBorder="1" applyAlignment="1" applyProtection="1">
      <alignment horizontal="center"/>
      <protection locked="0"/>
    </xf>
    <xf numFmtId="0" fontId="37" fillId="24" borderId="99" xfId="0" applyFont="1" applyFill="1" applyBorder="1" applyAlignment="1" applyProtection="1">
      <alignment horizontal="center"/>
      <protection locked="0"/>
    </xf>
    <xf numFmtId="0" fontId="37" fillId="24" borderId="102" xfId="0" applyFont="1" applyFill="1" applyBorder="1" applyAlignment="1" applyProtection="1">
      <alignment horizontal="center"/>
      <protection locked="0"/>
    </xf>
    <xf numFmtId="0" fontId="37" fillId="24" borderId="93" xfId="0" applyFont="1" applyFill="1" applyBorder="1" applyAlignment="1" applyProtection="1">
      <alignment horizontal="center" vertical="top" wrapText="1"/>
      <protection locked="0"/>
    </xf>
    <xf numFmtId="0" fontId="37" fillId="24" borderId="99" xfId="0" applyFont="1" applyFill="1" applyBorder="1" applyAlignment="1" applyProtection="1">
      <alignment horizontal="center" vertical="top" wrapText="1"/>
      <protection locked="0"/>
    </xf>
    <xf numFmtId="0" fontId="37" fillId="24" borderId="62" xfId="0" applyFont="1" applyFill="1" applyBorder="1" applyAlignment="1" applyProtection="1">
      <alignment horizontal="center" vertical="top" wrapText="1"/>
      <protection locked="0"/>
    </xf>
    <xf numFmtId="9" fontId="37" fillId="0" borderId="93" xfId="66" applyFont="1" applyFill="1" applyBorder="1" applyAlignment="1" applyProtection="1">
      <alignment horizontal="center"/>
      <protection/>
    </xf>
    <xf numFmtId="9" fontId="37" fillId="0" borderId="63" xfId="66" applyFont="1" applyFill="1" applyBorder="1" applyAlignment="1" applyProtection="1">
      <alignment horizontal="center"/>
      <protection/>
    </xf>
    <xf numFmtId="9" fontId="37" fillId="0" borderId="97" xfId="66" applyFont="1" applyFill="1" applyBorder="1" applyAlignment="1" applyProtection="1">
      <alignment horizontal="center"/>
      <protection/>
    </xf>
    <xf numFmtId="9" fontId="37" fillId="0" borderId="107" xfId="66" applyFont="1" applyFill="1" applyBorder="1" applyAlignment="1" applyProtection="1">
      <alignment horizontal="center"/>
      <protection/>
    </xf>
    <xf numFmtId="9" fontId="37" fillId="0" borderId="48" xfId="66" applyFont="1" applyFill="1" applyBorder="1" applyAlignment="1" applyProtection="1">
      <alignment horizontal="center"/>
      <protection/>
    </xf>
    <xf numFmtId="9" fontId="37" fillId="0" borderId="94" xfId="66" applyFont="1" applyFill="1" applyBorder="1" applyAlignment="1" applyProtection="1">
      <alignment horizontal="center"/>
      <protection/>
    </xf>
    <xf numFmtId="9" fontId="37" fillId="0" borderId="26" xfId="66" applyFont="1" applyFill="1" applyBorder="1" applyAlignment="1" applyProtection="1">
      <alignment horizontal="center"/>
      <protection/>
    </xf>
    <xf numFmtId="9" fontId="37" fillId="0" borderId="41" xfId="66" applyFont="1" applyFill="1" applyBorder="1" applyAlignment="1" applyProtection="1">
      <alignment horizontal="center"/>
      <protection/>
    </xf>
    <xf numFmtId="0" fontId="29" fillId="0" borderId="26" xfId="0" applyFont="1" applyFill="1" applyBorder="1" applyAlignment="1" applyProtection="1">
      <alignment horizontal="left" vertical="top" wrapText="1"/>
      <protection/>
    </xf>
    <xf numFmtId="0" fontId="29" fillId="0" borderId="113" xfId="0" applyFont="1" applyFill="1" applyBorder="1" applyAlignment="1" applyProtection="1">
      <alignment horizontal="left" vertical="top" wrapText="1"/>
      <protection/>
    </xf>
    <xf numFmtId="0" fontId="29" fillId="0" borderId="50" xfId="0" applyFont="1" applyFill="1" applyBorder="1" applyAlignment="1" applyProtection="1">
      <alignment horizontal="left" vertical="top" wrapText="1"/>
      <protection/>
    </xf>
    <xf numFmtId="0" fontId="29" fillId="0" borderId="33" xfId="0" applyFont="1" applyFill="1" applyBorder="1" applyAlignment="1" applyProtection="1">
      <alignment horizontal="left" vertical="top" wrapText="1"/>
      <protection/>
    </xf>
    <xf numFmtId="0" fontId="0" fillId="0" borderId="97" xfId="0" applyFont="1" applyFill="1" applyBorder="1" applyAlignment="1" applyProtection="1">
      <alignment horizontal="left" vertical="top" wrapText="1"/>
      <protection/>
    </xf>
    <xf numFmtId="0" fontId="48" fillId="27" borderId="43" xfId="0" applyFont="1" applyFill="1" applyBorder="1" applyAlignment="1" applyProtection="1">
      <alignment horizontal="center" vertical="top" wrapText="1"/>
      <protection/>
    </xf>
    <xf numFmtId="0" fontId="48" fillId="27" borderId="44" xfId="0" applyFont="1" applyFill="1" applyBorder="1" applyAlignment="1" applyProtection="1">
      <alignment horizontal="center" vertical="top" wrapText="1"/>
      <protection/>
    </xf>
    <xf numFmtId="0" fontId="48" fillId="27" borderId="115" xfId="0" applyFont="1" applyFill="1" applyBorder="1" applyAlignment="1" applyProtection="1">
      <alignment horizontal="center" vertical="top" wrapText="1"/>
      <protection/>
    </xf>
    <xf numFmtId="0" fontId="48" fillId="0" borderId="99" xfId="0" applyFont="1" applyFill="1" applyBorder="1" applyAlignment="1" applyProtection="1">
      <alignment horizontal="center" vertical="top" wrapText="1"/>
      <protection/>
    </xf>
    <xf numFmtId="0" fontId="48" fillId="0" borderId="116" xfId="0" applyFont="1" applyFill="1" applyBorder="1" applyAlignment="1" applyProtection="1">
      <alignment horizontal="center" vertical="top" wrapText="1"/>
      <protection/>
    </xf>
    <xf numFmtId="0" fontId="48" fillId="27" borderId="117" xfId="0" applyFont="1" applyFill="1" applyBorder="1" applyAlignment="1" applyProtection="1">
      <alignment horizontal="center" vertical="top" wrapText="1"/>
      <protection/>
    </xf>
    <xf numFmtId="0" fontId="48" fillId="27" borderId="47" xfId="0" applyFont="1" applyFill="1" applyBorder="1" applyAlignment="1" applyProtection="1">
      <alignment horizontal="center" vertical="top" wrapText="1"/>
      <protection/>
    </xf>
    <xf numFmtId="0" fontId="48" fillId="27" borderId="118" xfId="0" applyFont="1" applyFill="1" applyBorder="1" applyAlignment="1" applyProtection="1">
      <alignment horizontal="center" vertical="top" wrapText="1"/>
      <protection/>
    </xf>
    <xf numFmtId="0" fontId="37" fillId="0" borderId="48" xfId="61" applyFont="1" applyBorder="1" applyAlignment="1" applyProtection="1">
      <alignment horizontal="left"/>
      <protection/>
    </xf>
    <xf numFmtId="0" fontId="37" fillId="0" borderId="0" xfId="61" applyFont="1" applyBorder="1" applyAlignment="1" applyProtection="1">
      <alignment horizontal="left"/>
      <protection/>
    </xf>
    <xf numFmtId="0" fontId="37" fillId="0" borderId="36" xfId="61" applyFont="1" applyBorder="1" applyAlignment="1" applyProtection="1">
      <alignment horizontal="left"/>
      <protection/>
    </xf>
    <xf numFmtId="0" fontId="0" fillId="0" borderId="50" xfId="61" applyFont="1" applyFill="1" applyBorder="1" applyAlignment="1" applyProtection="1">
      <alignment horizontal="left" vertical="top" wrapText="1"/>
      <protection/>
    </xf>
    <xf numFmtId="0" fontId="0" fillId="0" borderId="0" xfId="61" applyFont="1" applyFill="1" applyBorder="1" applyAlignment="1" applyProtection="1">
      <alignment horizontal="left" vertical="top" wrapText="1"/>
      <protection/>
    </xf>
    <xf numFmtId="0" fontId="37" fillId="6" borderId="48" xfId="61" applyFont="1" applyFill="1" applyBorder="1" applyAlignment="1" applyProtection="1">
      <alignment horizontal="center" vertical="top" wrapText="1"/>
      <protection locked="0"/>
    </xf>
    <xf numFmtId="0" fontId="37" fillId="6" borderId="33" xfId="61" applyFont="1" applyFill="1" applyBorder="1" applyAlignment="1" applyProtection="1">
      <alignment horizontal="center" vertical="top" wrapText="1"/>
      <protection locked="0"/>
    </xf>
    <xf numFmtId="0" fontId="0" fillId="20" borderId="112" xfId="61" applyFont="1" applyFill="1" applyBorder="1" applyAlignment="1" applyProtection="1">
      <alignment horizontal="left" wrapText="1"/>
      <protection/>
    </xf>
    <xf numFmtId="0" fontId="0" fillId="20" borderId="89" xfId="61" applyFont="1" applyFill="1" applyBorder="1" applyAlignment="1" applyProtection="1">
      <alignment horizontal="left" wrapText="1"/>
      <protection/>
    </xf>
    <xf numFmtId="0" fontId="0" fillId="20" borderId="88" xfId="61" applyFont="1" applyFill="1" applyBorder="1" applyAlignment="1" applyProtection="1">
      <alignment horizontal="left" wrapText="1"/>
      <protection/>
    </xf>
    <xf numFmtId="0" fontId="29" fillId="0" borderId="50" xfId="61" applyFont="1" applyFill="1" applyBorder="1" applyAlignment="1" applyProtection="1">
      <alignment horizontal="left" vertical="top" wrapText="1"/>
      <protection/>
    </xf>
    <xf numFmtId="0" fontId="29" fillId="0" borderId="33" xfId="61" applyFont="1" applyFill="1" applyBorder="1" applyAlignment="1" applyProtection="1">
      <alignment horizontal="left" vertical="top" wrapText="1"/>
      <protection/>
    </xf>
    <xf numFmtId="1" fontId="37" fillId="0" borderId="48" xfId="61" applyNumberFormat="1" applyFont="1" applyFill="1" applyBorder="1" applyAlignment="1" applyProtection="1">
      <alignment horizontal="center" vertical="top" wrapText="1"/>
      <protection/>
    </xf>
    <xf numFmtId="0" fontId="37" fillId="0" borderId="33" xfId="61" applyFont="1" applyFill="1" applyBorder="1" applyAlignment="1" applyProtection="1">
      <alignment horizontal="center" vertical="top" wrapText="1"/>
      <protection/>
    </xf>
    <xf numFmtId="0" fontId="0" fillId="20" borderId="97" xfId="61" applyFont="1" applyFill="1" applyBorder="1" applyAlignment="1" applyProtection="1">
      <alignment horizontal="left" wrapText="1"/>
      <protection/>
    </xf>
    <xf numFmtId="0" fontId="0" fillId="0" borderId="33" xfId="61" applyFont="1" applyFill="1" applyBorder="1" applyAlignment="1" applyProtection="1">
      <alignment horizontal="left" vertical="top" wrapText="1"/>
      <protection/>
    </xf>
    <xf numFmtId="1" fontId="37" fillId="0" borderId="33" xfId="61" applyNumberFormat="1" applyFont="1" applyFill="1" applyBorder="1" applyAlignment="1" applyProtection="1">
      <alignment horizontal="center" vertical="top" wrapText="1"/>
      <protection/>
    </xf>
    <xf numFmtId="0" fontId="29" fillId="0" borderId="40" xfId="61" applyFont="1" applyFill="1" applyBorder="1" applyAlignment="1" applyProtection="1">
      <alignment horizontal="left" vertical="top" wrapText="1"/>
      <protection/>
    </xf>
    <xf numFmtId="0" fontId="29" fillId="0" borderId="113" xfId="61" applyFont="1" applyFill="1" applyBorder="1" applyAlignment="1" applyProtection="1">
      <alignment horizontal="left" vertical="top" wrapText="1"/>
      <protection/>
    </xf>
    <xf numFmtId="0" fontId="37" fillId="0" borderId="94" xfId="61" applyFont="1" applyFill="1" applyBorder="1" applyAlignment="1" applyProtection="1">
      <alignment horizontal="center" vertical="top" wrapText="1"/>
      <protection/>
    </xf>
    <xf numFmtId="0" fontId="37" fillId="0" borderId="113" xfId="61" applyFont="1" applyFill="1" applyBorder="1" applyAlignment="1" applyProtection="1">
      <alignment horizontal="center" vertical="top" wrapText="1"/>
      <protection/>
    </xf>
    <xf numFmtId="0" fontId="37" fillId="0" borderId="48" xfId="61" applyFont="1" applyFill="1" applyBorder="1" applyAlignment="1" applyProtection="1">
      <alignment horizontal="center" vertical="top" wrapText="1"/>
      <protection/>
    </xf>
    <xf numFmtId="0" fontId="0" fillId="0" borderId="89" xfId="61" applyBorder="1" applyProtection="1">
      <alignment/>
      <protection/>
    </xf>
    <xf numFmtId="0" fontId="0" fillId="0" borderId="88" xfId="61" applyBorder="1" applyProtection="1">
      <alignment/>
      <protection/>
    </xf>
    <xf numFmtId="0" fontId="0" fillId="21" borderId="92" xfId="61" applyFont="1" applyFill="1" applyBorder="1" applyAlignment="1" applyProtection="1">
      <alignment horizontal="center" vertical="center" wrapText="1"/>
      <protection/>
    </xf>
    <xf numFmtId="0" fontId="0" fillId="21" borderId="59" xfId="61" applyFont="1" applyFill="1" applyBorder="1" applyAlignment="1" applyProtection="1">
      <alignment horizontal="center" vertical="center" wrapText="1"/>
      <protection/>
    </xf>
    <xf numFmtId="0" fontId="0" fillId="21" borderId="53" xfId="61" applyFont="1" applyFill="1" applyBorder="1" applyAlignment="1" applyProtection="1">
      <alignment horizontal="center" vertical="center" wrapText="1"/>
      <protection/>
    </xf>
    <xf numFmtId="0" fontId="0" fillId="20" borderId="99" xfId="61" applyFont="1" applyFill="1" applyBorder="1" applyAlignment="1" applyProtection="1">
      <alignment horizontal="left" wrapText="1"/>
      <protection/>
    </xf>
    <xf numFmtId="0" fontId="0" fillId="0" borderId="97" xfId="61" applyBorder="1" applyProtection="1">
      <alignment/>
      <protection/>
    </xf>
    <xf numFmtId="0" fontId="0" fillId="0" borderId="107" xfId="61" applyBorder="1" applyProtection="1">
      <alignment/>
      <protection/>
    </xf>
    <xf numFmtId="0" fontId="37" fillId="0" borderId="48" xfId="61" applyFont="1" applyBorder="1" applyAlignment="1" applyProtection="1">
      <alignment horizontal="center"/>
      <protection/>
    </xf>
    <xf numFmtId="0" fontId="37" fillId="0" borderId="0" xfId="61" applyFont="1" applyBorder="1" applyAlignment="1" applyProtection="1">
      <alignment horizontal="center"/>
      <protection/>
    </xf>
    <xf numFmtId="0" fontId="37" fillId="0" borderId="36" xfId="61" applyFont="1" applyBorder="1" applyAlignment="1" applyProtection="1">
      <alignment horizontal="center"/>
      <protection/>
    </xf>
    <xf numFmtId="0" fontId="0" fillId="0" borderId="106" xfId="61" applyFont="1" applyFill="1" applyBorder="1" applyAlignment="1" applyProtection="1">
      <alignment horizontal="left" vertical="top" wrapText="1"/>
      <protection/>
    </xf>
    <xf numFmtId="0" fontId="0" fillId="0" borderId="97" xfId="61" applyFont="1" applyFill="1" applyBorder="1" applyAlignment="1" applyProtection="1">
      <alignment horizontal="left" vertical="top" wrapText="1"/>
      <protection/>
    </xf>
    <xf numFmtId="0" fontId="37" fillId="0" borderId="63" xfId="61" applyFont="1" applyFill="1" applyBorder="1" applyAlignment="1" applyProtection="1">
      <alignment horizontal="center" vertical="top" wrapText="1"/>
      <protection/>
    </xf>
    <xf numFmtId="0" fontId="37" fillId="0" borderId="97" xfId="61" applyFont="1" applyFill="1" applyBorder="1" applyAlignment="1" applyProtection="1">
      <alignment horizontal="center" vertical="top" wrapText="1"/>
      <protection/>
    </xf>
    <xf numFmtId="0" fontId="37" fillId="0" borderId="54" xfId="61" applyFont="1" applyFill="1" applyBorder="1" applyAlignment="1" applyProtection="1">
      <alignment horizontal="center" vertical="top" wrapText="1"/>
      <protection/>
    </xf>
    <xf numFmtId="0" fontId="37" fillId="0" borderId="63" xfId="61" applyFont="1" applyBorder="1" applyAlignment="1" applyProtection="1">
      <alignment horizontal="center"/>
      <protection/>
    </xf>
    <xf numFmtId="0" fontId="37" fillId="0" borderId="97" xfId="61" applyFont="1" applyBorder="1" applyAlignment="1" applyProtection="1">
      <alignment horizontal="center"/>
      <protection/>
    </xf>
    <xf numFmtId="0" fontId="37" fillId="0" borderId="107" xfId="61" applyFont="1" applyBorder="1" applyAlignment="1" applyProtection="1">
      <alignment horizontal="center"/>
      <protection/>
    </xf>
    <xf numFmtId="0" fontId="0" fillId="20" borderId="106" xfId="61" applyFont="1" applyFill="1" applyBorder="1" applyAlignment="1" applyProtection="1">
      <alignment horizontal="left" vertical="top" wrapText="1"/>
      <protection/>
    </xf>
    <xf numFmtId="0" fontId="0" fillId="20" borderId="97" xfId="61" applyFont="1" applyFill="1" applyBorder="1" applyAlignment="1" applyProtection="1">
      <alignment horizontal="left" vertical="top" wrapText="1"/>
      <protection/>
    </xf>
    <xf numFmtId="0" fontId="0" fillId="20" borderId="107" xfId="61" applyFont="1" applyFill="1" applyBorder="1" applyAlignment="1" applyProtection="1">
      <alignment horizontal="left" vertical="top" wrapText="1"/>
      <protection/>
    </xf>
    <xf numFmtId="2" fontId="37" fillId="0" borderId="48" xfId="61" applyNumberFormat="1" applyFont="1" applyFill="1" applyBorder="1" applyAlignment="1" applyProtection="1">
      <alignment horizontal="center" vertical="top" wrapText="1"/>
      <protection/>
    </xf>
    <xf numFmtId="0" fontId="37" fillId="0" borderId="0" xfId="61" applyFont="1" applyFill="1" applyBorder="1" applyAlignment="1" applyProtection="1">
      <alignment horizontal="center" vertical="top" wrapText="1"/>
      <protection/>
    </xf>
    <xf numFmtId="0" fontId="37" fillId="0" borderId="36" xfId="61" applyFont="1" applyFill="1" applyBorder="1" applyAlignment="1" applyProtection="1">
      <alignment horizontal="center" vertical="top" wrapText="1"/>
      <protection/>
    </xf>
    <xf numFmtId="0" fontId="37" fillId="0" borderId="107" xfId="61" applyFont="1" applyFill="1" applyBorder="1" applyAlignment="1" applyProtection="1">
      <alignment horizontal="center" vertical="top" wrapText="1"/>
      <protection/>
    </xf>
    <xf numFmtId="0" fontId="0" fillId="0" borderId="40" xfId="61" applyFont="1" applyFill="1" applyBorder="1" applyAlignment="1" applyProtection="1">
      <alignment horizontal="left" vertical="top" wrapText="1"/>
      <protection/>
    </xf>
    <xf numFmtId="0" fontId="0" fillId="0" borderId="26" xfId="61" applyFont="1" applyFill="1" applyBorder="1" applyAlignment="1" applyProtection="1">
      <alignment horizontal="left" vertical="top" wrapText="1"/>
      <protection/>
    </xf>
    <xf numFmtId="0" fontId="37" fillId="0" borderId="26" xfId="61" applyFont="1" applyFill="1" applyBorder="1" applyAlignment="1" applyProtection="1">
      <alignment horizontal="center" vertical="top" wrapText="1"/>
      <protection/>
    </xf>
    <xf numFmtId="0" fontId="37" fillId="0" borderId="94" xfId="61" applyFont="1" applyBorder="1" applyAlignment="1" applyProtection="1">
      <alignment horizontal="center"/>
      <protection/>
    </xf>
    <xf numFmtId="0" fontId="37" fillId="0" borderId="26" xfId="61" applyFont="1" applyBorder="1" applyAlignment="1" applyProtection="1">
      <alignment horizontal="center"/>
      <protection/>
    </xf>
    <xf numFmtId="0" fontId="37" fillId="0" borderId="41" xfId="61" applyFont="1" applyBorder="1" applyAlignment="1" applyProtection="1">
      <alignment horizontal="center"/>
      <protection/>
    </xf>
    <xf numFmtId="0" fontId="37" fillId="0" borderId="93" xfId="61" applyFont="1" applyBorder="1" applyAlignment="1" applyProtection="1">
      <alignment horizontal="center"/>
      <protection/>
    </xf>
    <xf numFmtId="0" fontId="37" fillId="0" borderId="99" xfId="61" applyFont="1" applyBorder="1" applyAlignment="1" applyProtection="1">
      <alignment horizontal="center"/>
      <protection/>
    </xf>
    <xf numFmtId="0" fontId="37" fillId="0" borderId="102" xfId="61" applyFont="1" applyBorder="1" applyAlignment="1" applyProtection="1">
      <alignment horizontal="center"/>
      <protection/>
    </xf>
    <xf numFmtId="0" fontId="0" fillId="20" borderId="112" xfId="61" applyFont="1" applyFill="1" applyBorder="1" applyAlignment="1" applyProtection="1">
      <alignment horizontal="left" vertical="top" wrapText="1"/>
      <protection/>
    </xf>
    <xf numFmtId="0" fontId="0" fillId="20" borderId="89" xfId="61" applyFont="1" applyFill="1" applyBorder="1" applyAlignment="1" applyProtection="1">
      <alignment horizontal="left" vertical="top" wrapText="1"/>
      <protection/>
    </xf>
    <xf numFmtId="0" fontId="0" fillId="20" borderId="88" xfId="61" applyFont="1" applyFill="1" applyBorder="1" applyAlignment="1" applyProtection="1">
      <alignment horizontal="left" vertical="top" wrapText="1"/>
      <protection/>
    </xf>
    <xf numFmtId="2" fontId="37" fillId="0" borderId="93" xfId="61" applyNumberFormat="1" applyFont="1" applyFill="1" applyBorder="1" applyAlignment="1" applyProtection="1">
      <alignment horizontal="center" vertical="top" wrapText="1"/>
      <protection/>
    </xf>
    <xf numFmtId="2" fontId="37" fillId="0" borderId="99" xfId="61" applyNumberFormat="1" applyFont="1" applyFill="1" applyBorder="1" applyAlignment="1" applyProtection="1">
      <alignment horizontal="center" vertical="top" wrapText="1"/>
      <protection/>
    </xf>
    <xf numFmtId="2" fontId="37" fillId="0" borderId="62" xfId="61" applyNumberFormat="1" applyFont="1" applyFill="1" applyBorder="1" applyAlignment="1" applyProtection="1">
      <alignment horizontal="center" vertical="top" wrapText="1"/>
      <protection/>
    </xf>
    <xf numFmtId="2" fontId="37" fillId="0" borderId="93" xfId="61" applyNumberFormat="1" applyFont="1" applyBorder="1" applyAlignment="1" applyProtection="1">
      <alignment horizontal="center"/>
      <protection/>
    </xf>
    <xf numFmtId="2" fontId="37" fillId="0" borderId="99" xfId="61" applyNumberFormat="1" applyFont="1" applyBorder="1" applyAlignment="1" applyProtection="1">
      <alignment horizontal="center"/>
      <protection/>
    </xf>
    <xf numFmtId="2" fontId="37" fillId="0" borderId="102" xfId="61" applyNumberFormat="1" applyFont="1" applyBorder="1" applyAlignment="1" applyProtection="1">
      <alignment horizontal="center"/>
      <protection/>
    </xf>
    <xf numFmtId="0" fontId="0" fillId="0" borderId="114" xfId="61" applyFont="1" applyFill="1" applyBorder="1" applyAlignment="1" applyProtection="1">
      <alignment horizontal="left" vertical="top" wrapText="1"/>
      <protection/>
    </xf>
    <xf numFmtId="0" fontId="0" fillId="0" borderId="99" xfId="61" applyFont="1" applyFill="1" applyBorder="1" applyAlignment="1" applyProtection="1">
      <alignment horizontal="left" vertical="top" wrapText="1"/>
      <protection/>
    </xf>
    <xf numFmtId="0" fontId="37" fillId="0" borderId="93" xfId="61" applyFont="1" applyFill="1" applyBorder="1" applyAlignment="1" applyProtection="1">
      <alignment horizontal="center" vertical="top" wrapText="1"/>
      <protection/>
    </xf>
    <xf numFmtId="0" fontId="37" fillId="0" borderId="99" xfId="61" applyFont="1" applyFill="1" applyBorder="1" applyAlignment="1" applyProtection="1">
      <alignment horizontal="center" vertical="top" wrapText="1"/>
      <protection/>
    </xf>
    <xf numFmtId="0" fontId="37" fillId="0" borderId="62" xfId="61" applyFont="1" applyFill="1" applyBorder="1" applyAlignment="1" applyProtection="1">
      <alignment horizontal="center" vertical="top" wrapText="1"/>
      <protection/>
    </xf>
    <xf numFmtId="1" fontId="37" fillId="0" borderId="0" xfId="61" applyNumberFormat="1" applyFont="1" applyFill="1" applyBorder="1" applyAlignment="1" applyProtection="1">
      <alignment horizontal="center" vertical="top" wrapText="1"/>
      <protection/>
    </xf>
    <xf numFmtId="1" fontId="37" fillId="0" borderId="36" xfId="61" applyNumberFormat="1" applyFont="1" applyFill="1" applyBorder="1" applyAlignment="1" applyProtection="1">
      <alignment horizontal="center" vertical="top" wrapText="1"/>
      <protection/>
    </xf>
    <xf numFmtId="0" fontId="37" fillId="0" borderId="48" xfId="61" applyFont="1" applyFill="1" applyBorder="1" applyAlignment="1" applyProtection="1">
      <alignment horizontal="center"/>
      <protection/>
    </xf>
    <xf numFmtId="0" fontId="37" fillId="0" borderId="0" xfId="61" applyFont="1" applyFill="1" applyBorder="1" applyAlignment="1" applyProtection="1">
      <alignment horizontal="center"/>
      <protection/>
    </xf>
    <xf numFmtId="0" fontId="37" fillId="0" borderId="36" xfId="61" applyFont="1" applyFill="1" applyBorder="1" applyAlignment="1" applyProtection="1">
      <alignment horizontal="center"/>
      <protection/>
    </xf>
    <xf numFmtId="0" fontId="37" fillId="6" borderId="0" xfId="61" applyFont="1" applyFill="1" applyBorder="1" applyAlignment="1" applyProtection="1">
      <alignment horizontal="center" vertical="top" wrapText="1"/>
      <protection locked="0"/>
    </xf>
    <xf numFmtId="0" fontId="37" fillId="6" borderId="48" xfId="61" applyFont="1" applyFill="1" applyBorder="1" applyAlignment="1" applyProtection="1">
      <alignment horizontal="center"/>
      <protection locked="0"/>
    </xf>
    <xf numFmtId="0" fontId="37" fillId="6" borderId="0" xfId="61" applyFont="1" applyFill="1" applyBorder="1" applyAlignment="1" applyProtection="1">
      <alignment horizontal="center"/>
      <protection locked="0"/>
    </xf>
    <xf numFmtId="0" fontId="37" fillId="6" borderId="36" xfId="61" applyFont="1" applyFill="1" applyBorder="1" applyAlignment="1" applyProtection="1">
      <alignment horizontal="center"/>
      <protection locked="0"/>
    </xf>
    <xf numFmtId="166" fontId="37" fillId="0" borderId="48" xfId="61" applyNumberFormat="1" applyFont="1" applyFill="1" applyBorder="1" applyAlignment="1" applyProtection="1">
      <alignment horizontal="center" vertical="top" wrapText="1"/>
      <protection/>
    </xf>
    <xf numFmtId="166" fontId="37" fillId="0" borderId="0" xfId="61" applyNumberFormat="1" applyFont="1" applyFill="1" applyBorder="1" applyAlignment="1" applyProtection="1">
      <alignment horizontal="center" vertical="top" wrapText="1"/>
      <protection/>
    </xf>
    <xf numFmtId="166" fontId="37" fillId="0" borderId="33" xfId="61" applyNumberFormat="1" applyFont="1" applyFill="1" applyBorder="1" applyAlignment="1" applyProtection="1">
      <alignment horizontal="center" vertical="top" wrapText="1"/>
      <protection/>
    </xf>
    <xf numFmtId="166" fontId="37" fillId="0" borderId="48" xfId="61" applyNumberFormat="1" applyFont="1" applyBorder="1" applyAlignment="1" applyProtection="1">
      <alignment horizontal="center"/>
      <protection/>
    </xf>
    <xf numFmtId="166" fontId="37" fillId="0" borderId="0" xfId="61" applyNumberFormat="1" applyFont="1" applyBorder="1" applyAlignment="1" applyProtection="1">
      <alignment horizontal="center"/>
      <protection/>
    </xf>
    <xf numFmtId="166" fontId="37" fillId="0" borderId="36" xfId="61" applyNumberFormat="1" applyFont="1" applyBorder="1" applyAlignment="1" applyProtection="1">
      <alignment horizontal="center"/>
      <protection/>
    </xf>
    <xf numFmtId="0" fontId="0" fillId="0" borderId="50" xfId="61" applyFont="1" applyFill="1" applyBorder="1" applyAlignment="1" applyProtection="1">
      <alignment horizontal="left" vertical="top" wrapText="1" indent="1"/>
      <protection/>
    </xf>
    <xf numFmtId="0" fontId="0" fillId="0" borderId="33" xfId="61" applyFont="1" applyFill="1" applyBorder="1" applyAlignment="1" applyProtection="1">
      <alignment horizontal="left" vertical="top" wrapText="1" indent="1"/>
      <protection/>
    </xf>
    <xf numFmtId="0" fontId="37" fillId="6" borderId="48" xfId="61" applyFont="1" applyFill="1" applyBorder="1" applyAlignment="1" applyProtection="1">
      <alignment horizontal="left" vertical="top" wrapText="1"/>
      <protection locked="0"/>
    </xf>
    <xf numFmtId="0" fontId="37" fillId="6" borderId="0" xfId="61" applyFont="1" applyFill="1" applyBorder="1" applyAlignment="1" applyProtection="1">
      <alignment horizontal="left" vertical="top" wrapText="1"/>
      <protection locked="0"/>
    </xf>
    <xf numFmtId="0" fontId="37" fillId="6" borderId="33" xfId="61" applyFont="1" applyFill="1" applyBorder="1" applyAlignment="1" applyProtection="1">
      <alignment horizontal="left" vertical="top" wrapText="1"/>
      <protection locked="0"/>
    </xf>
    <xf numFmtId="37" fontId="37" fillId="0" borderId="48" xfId="42" applyNumberFormat="1" applyFont="1" applyFill="1" applyBorder="1" applyAlignment="1" applyProtection="1">
      <alignment horizontal="center"/>
      <protection/>
    </xf>
    <xf numFmtId="37" fontId="37" fillId="0" borderId="0" xfId="42" applyNumberFormat="1" applyFont="1" applyFill="1" applyBorder="1" applyAlignment="1" applyProtection="1">
      <alignment horizontal="center"/>
      <protection/>
    </xf>
    <xf numFmtId="37" fontId="37" fillId="0" borderId="36" xfId="42" applyNumberFormat="1" applyFont="1" applyFill="1" applyBorder="1" applyAlignment="1" applyProtection="1">
      <alignment horizontal="center"/>
      <protection/>
    </xf>
    <xf numFmtId="1" fontId="37" fillId="0" borderId="48" xfId="61" applyNumberFormat="1" applyFont="1" applyBorder="1" applyAlignment="1" applyProtection="1">
      <alignment horizontal="center"/>
      <protection/>
    </xf>
    <xf numFmtId="1" fontId="37" fillId="0" borderId="0" xfId="61" applyNumberFormat="1" applyFont="1" applyBorder="1" applyAlignment="1" applyProtection="1">
      <alignment horizontal="center"/>
      <protection/>
    </xf>
    <xf numFmtId="1" fontId="37" fillId="0" borderId="36" xfId="61" applyNumberFormat="1" applyFont="1" applyBorder="1" applyAlignment="1" applyProtection="1">
      <alignment horizontal="center"/>
      <protection/>
    </xf>
    <xf numFmtId="0" fontId="37" fillId="0" borderId="63" xfId="61" applyFont="1" applyFill="1" applyBorder="1" applyAlignment="1" applyProtection="1">
      <alignment horizontal="center"/>
      <protection/>
    </xf>
    <xf numFmtId="0" fontId="37" fillId="0" borderId="97" xfId="61" applyFont="1" applyFill="1" applyBorder="1" applyAlignment="1" applyProtection="1">
      <alignment horizontal="center"/>
      <protection/>
    </xf>
    <xf numFmtId="0" fontId="37" fillId="0" borderId="107" xfId="61" applyFont="1" applyFill="1" applyBorder="1" applyAlignment="1" applyProtection="1">
      <alignment horizontal="center"/>
      <protection/>
    </xf>
    <xf numFmtId="37" fontId="37" fillId="0" borderId="48" xfId="61" applyNumberFormat="1" applyFont="1" applyFill="1" applyBorder="1" applyAlignment="1" applyProtection="1">
      <alignment horizontal="center" vertical="top" wrapText="1"/>
      <protection/>
    </xf>
    <xf numFmtId="37" fontId="37" fillId="0" borderId="48" xfId="42" applyNumberFormat="1" applyFont="1" applyBorder="1" applyAlignment="1" applyProtection="1">
      <alignment horizontal="center"/>
      <protection/>
    </xf>
    <xf numFmtId="37" fontId="37" fillId="0" borderId="0" xfId="42" applyNumberFormat="1" applyFont="1" applyBorder="1" applyAlignment="1" applyProtection="1">
      <alignment horizontal="center"/>
      <protection/>
    </xf>
    <xf numFmtId="37" fontId="37" fillId="0" borderId="36" xfId="42" applyNumberFormat="1" applyFont="1" applyBorder="1" applyAlignment="1" applyProtection="1">
      <alignment horizontal="center"/>
      <protection/>
    </xf>
    <xf numFmtId="0" fontId="0" fillId="0" borderId="33" xfId="61" applyFont="1" applyBorder="1" applyProtection="1">
      <alignment/>
      <protection/>
    </xf>
    <xf numFmtId="2" fontId="37" fillId="0" borderId="0" xfId="61" applyNumberFormat="1" applyFont="1" applyFill="1" applyBorder="1" applyAlignment="1" applyProtection="1">
      <alignment horizontal="center" vertical="top" wrapText="1"/>
      <protection/>
    </xf>
    <xf numFmtId="2" fontId="37" fillId="0" borderId="33" xfId="61" applyNumberFormat="1" applyFont="1" applyFill="1" applyBorder="1" applyAlignment="1" applyProtection="1">
      <alignment horizontal="center" vertical="top" wrapText="1"/>
      <protection/>
    </xf>
    <xf numFmtId="2" fontId="37" fillId="0" borderId="48" xfId="61" applyNumberFormat="1" applyFont="1" applyFill="1" applyBorder="1" applyAlignment="1" applyProtection="1">
      <alignment horizontal="center"/>
      <protection/>
    </xf>
    <xf numFmtId="2" fontId="37" fillId="0" borderId="0" xfId="61" applyNumberFormat="1" applyFont="1" applyFill="1" applyBorder="1" applyAlignment="1" applyProtection="1">
      <alignment horizontal="center"/>
      <protection/>
    </xf>
    <xf numFmtId="2" fontId="37" fillId="0" borderId="36" xfId="61" applyNumberFormat="1" applyFont="1" applyFill="1" applyBorder="1" applyAlignment="1" applyProtection="1">
      <alignment horizontal="center"/>
      <protection/>
    </xf>
    <xf numFmtId="0" fontId="0" fillId="0" borderId="62" xfId="61" applyFont="1" applyFill="1" applyBorder="1" applyAlignment="1" applyProtection="1">
      <alignment horizontal="left" vertical="top" wrapText="1"/>
      <protection/>
    </xf>
    <xf numFmtId="0" fontId="37" fillId="0" borderId="93" xfId="61" applyFont="1" applyFill="1" applyBorder="1" applyAlignment="1" applyProtection="1">
      <alignment horizontal="left" vertical="top" wrapText="1"/>
      <protection/>
    </xf>
    <xf numFmtId="0" fontId="37" fillId="0" borderId="99" xfId="61" applyFont="1" applyFill="1" applyBorder="1" applyAlignment="1" applyProtection="1">
      <alignment horizontal="left" vertical="top" wrapText="1"/>
      <protection/>
    </xf>
    <xf numFmtId="0" fontId="37" fillId="0" borderId="62" xfId="61" applyFont="1" applyFill="1" applyBorder="1" applyAlignment="1" applyProtection="1">
      <alignment horizontal="left" vertical="top" wrapText="1"/>
      <protection/>
    </xf>
    <xf numFmtId="0" fontId="0" fillId="20" borderId="112" xfId="61" applyFont="1" applyFill="1" applyBorder="1" applyAlignment="1" applyProtection="1">
      <alignment horizontal="left" vertical="center" wrapText="1"/>
      <protection/>
    </xf>
    <xf numFmtId="0" fontId="0" fillId="20" borderId="89" xfId="61" applyFont="1" applyFill="1" applyBorder="1" applyAlignment="1" applyProtection="1">
      <alignment horizontal="left" vertical="center" wrapText="1"/>
      <protection/>
    </xf>
    <xf numFmtId="0" fontId="0" fillId="20" borderId="88" xfId="61" applyFont="1" applyFill="1" applyBorder="1" applyAlignment="1" applyProtection="1">
      <alignment horizontal="left" vertical="center" wrapText="1"/>
      <protection/>
    </xf>
    <xf numFmtId="0" fontId="37" fillId="0" borderId="93" xfId="61" applyFont="1" applyFill="1" applyBorder="1" applyAlignment="1" applyProtection="1">
      <alignment horizontal="center"/>
      <protection/>
    </xf>
    <xf numFmtId="0" fontId="37" fillId="0" borderId="99" xfId="61" applyFont="1" applyFill="1" applyBorder="1" applyAlignment="1" applyProtection="1">
      <alignment horizontal="center"/>
      <protection/>
    </xf>
    <xf numFmtId="0" fontId="37" fillId="0" borderId="102" xfId="61" applyFont="1" applyFill="1" applyBorder="1" applyAlignment="1" applyProtection="1">
      <alignment horizontal="center"/>
      <protection/>
    </xf>
    <xf numFmtId="0" fontId="0" fillId="20" borderId="40" xfId="61" applyFont="1" applyFill="1" applyBorder="1" applyAlignment="1" applyProtection="1">
      <alignment horizontal="left" vertical="center" wrapText="1"/>
      <protection/>
    </xf>
    <xf numFmtId="0" fontId="0" fillId="20" borderId="113" xfId="61" applyFont="1" applyFill="1" applyBorder="1" applyAlignment="1" applyProtection="1">
      <alignment horizontal="left" vertical="center" wrapText="1"/>
      <protection/>
    </xf>
    <xf numFmtId="0" fontId="0" fillId="21" borderId="52" xfId="61" applyFont="1" applyFill="1" applyBorder="1" applyAlignment="1" applyProtection="1">
      <alignment horizontal="center" vertical="center" wrapText="1"/>
      <protection/>
    </xf>
    <xf numFmtId="0" fontId="0" fillId="0" borderId="59" xfId="61" applyBorder="1" applyProtection="1">
      <alignment/>
      <protection/>
    </xf>
    <xf numFmtId="0" fontId="0" fillId="0" borderId="90" xfId="61" applyBorder="1" applyProtection="1">
      <alignment/>
      <protection/>
    </xf>
    <xf numFmtId="0" fontId="0" fillId="20" borderId="48" xfId="61" applyFont="1" applyFill="1" applyBorder="1" applyAlignment="1" applyProtection="1">
      <alignment horizontal="left" vertical="top" wrapText="1" indent="2"/>
      <protection/>
    </xf>
    <xf numFmtId="0" fontId="0" fillId="20" borderId="33" xfId="61" applyFont="1" applyFill="1" applyBorder="1" applyAlignment="1" applyProtection="1">
      <alignment horizontal="left" vertical="top" wrapText="1" indent="2"/>
      <protection/>
    </xf>
    <xf numFmtId="3" fontId="37" fillId="0" borderId="48" xfId="61" applyNumberFormat="1" applyFont="1" applyFill="1" applyBorder="1" applyAlignment="1" applyProtection="1">
      <alignment horizontal="center" vertical="top" wrapText="1"/>
      <protection/>
    </xf>
    <xf numFmtId="0" fontId="0" fillId="20" borderId="40" xfId="61" applyFont="1" applyFill="1" applyBorder="1" applyAlignment="1" applyProtection="1">
      <alignment horizontal="left" vertical="top" wrapText="1"/>
      <protection/>
    </xf>
    <xf numFmtId="0" fontId="0" fillId="20" borderId="113" xfId="61" applyFont="1" applyFill="1" applyBorder="1" applyAlignment="1" applyProtection="1">
      <alignment horizontal="left" vertical="top" wrapText="1"/>
      <protection/>
    </xf>
    <xf numFmtId="0" fontId="0" fillId="20" borderId="94" xfId="61" applyFont="1" applyFill="1" applyBorder="1" applyAlignment="1" applyProtection="1">
      <alignment horizontal="left" vertical="top" wrapText="1" indent="2"/>
      <protection/>
    </xf>
    <xf numFmtId="0" fontId="0" fillId="20" borderId="113" xfId="61" applyFont="1" applyFill="1" applyBorder="1" applyAlignment="1" applyProtection="1">
      <alignment horizontal="left" vertical="top" wrapText="1" indent="2"/>
      <protection/>
    </xf>
    <xf numFmtId="3" fontId="37" fillId="0" borderId="94" xfId="61" applyNumberFormat="1" applyFont="1" applyFill="1" applyBorder="1" applyAlignment="1" applyProtection="1">
      <alignment horizontal="center" vertical="top" wrapText="1"/>
      <protection/>
    </xf>
    <xf numFmtId="0" fontId="37" fillId="0" borderId="41" xfId="61" applyFont="1" applyFill="1" applyBorder="1" applyAlignment="1" applyProtection="1">
      <alignment horizontal="center" vertical="top" wrapText="1"/>
      <protection/>
    </xf>
    <xf numFmtId="0" fontId="0" fillId="20" borderId="52" xfId="61" applyFont="1" applyFill="1" applyBorder="1" applyAlignment="1" applyProtection="1">
      <alignment horizontal="left" vertical="top" wrapText="1"/>
      <protection/>
    </xf>
    <xf numFmtId="0" fontId="0" fillId="20" borderId="53" xfId="61" applyFont="1" applyFill="1" applyBorder="1" applyAlignment="1" applyProtection="1">
      <alignment horizontal="left" vertical="top" wrapText="1"/>
      <protection/>
    </xf>
    <xf numFmtId="0" fontId="0" fillId="20" borderId="50" xfId="61" applyFont="1" applyFill="1" applyBorder="1" applyAlignment="1" applyProtection="1">
      <alignment horizontal="left" vertical="center" wrapText="1"/>
      <protection/>
    </xf>
    <xf numFmtId="0" fontId="0" fillId="20" borderId="33" xfId="61" applyFont="1" applyFill="1" applyBorder="1" applyAlignment="1" applyProtection="1">
      <alignment horizontal="left" vertical="center" wrapText="1"/>
      <protection/>
    </xf>
    <xf numFmtId="0" fontId="0" fillId="20" borderId="50" xfId="61" applyFont="1" applyFill="1" applyBorder="1" applyAlignment="1" applyProtection="1">
      <alignment horizontal="left" vertical="top" wrapText="1"/>
      <protection/>
    </xf>
    <xf numFmtId="0" fontId="0" fillId="20" borderId="33" xfId="61" applyFont="1" applyFill="1" applyBorder="1" applyAlignment="1" applyProtection="1">
      <alignment horizontal="left" vertical="top" wrapText="1"/>
      <protection/>
    </xf>
    <xf numFmtId="0" fontId="37" fillId="0" borderId="48" xfId="61" applyFont="1" applyFill="1" applyBorder="1" applyAlignment="1" applyProtection="1">
      <alignment horizontal="left" vertical="top" wrapText="1"/>
      <protection/>
    </xf>
    <xf numFmtId="0" fontId="37" fillId="0" borderId="33" xfId="61" applyFont="1" applyFill="1" applyBorder="1" applyAlignment="1" applyProtection="1">
      <alignment horizontal="left" vertical="top" wrapText="1"/>
      <protection/>
    </xf>
    <xf numFmtId="0" fontId="0" fillId="20" borderId="48" xfId="61" applyFont="1" applyFill="1" applyBorder="1" applyAlignment="1" applyProtection="1">
      <alignment horizontal="left" vertical="top" wrapText="1"/>
      <protection/>
    </xf>
    <xf numFmtId="0" fontId="0" fillId="20" borderId="50" xfId="61" applyFill="1" applyBorder="1" applyAlignment="1" applyProtection="1">
      <alignment horizontal="left"/>
      <protection/>
    </xf>
    <xf numFmtId="0" fontId="0" fillId="20" borderId="33" xfId="61" applyFill="1" applyBorder="1" applyAlignment="1" applyProtection="1">
      <alignment horizontal="left"/>
      <protection/>
    </xf>
    <xf numFmtId="0" fontId="37" fillId="0" borderId="33" xfId="61" applyFont="1" applyBorder="1" applyAlignment="1" applyProtection="1">
      <alignment horizontal="left"/>
      <protection/>
    </xf>
    <xf numFmtId="0" fontId="0" fillId="20" borderId="48" xfId="61" applyFont="1" applyFill="1" applyBorder="1" applyAlignment="1" applyProtection="1">
      <alignment horizontal="left"/>
      <protection/>
    </xf>
    <xf numFmtId="0" fontId="0" fillId="20" borderId="119" xfId="61" applyFont="1" applyFill="1" applyBorder="1" applyAlignment="1" applyProtection="1">
      <alignment horizontal="left" vertical="top" wrapText="1"/>
      <protection/>
    </xf>
    <xf numFmtId="0" fontId="0" fillId="20" borderId="91" xfId="61" applyFont="1" applyFill="1" applyBorder="1" applyAlignment="1" applyProtection="1">
      <alignment horizontal="left" vertical="top" wrapText="1"/>
      <protection/>
    </xf>
    <xf numFmtId="3" fontId="37" fillId="0" borderId="119" xfId="61" applyNumberFormat="1" applyFont="1" applyFill="1" applyBorder="1" applyAlignment="1" applyProtection="1">
      <alignment horizontal="center" vertical="top" wrapText="1"/>
      <protection/>
    </xf>
    <xf numFmtId="0" fontId="37" fillId="0" borderId="42" xfId="61" applyFont="1" applyFill="1" applyBorder="1" applyAlignment="1" applyProtection="1">
      <alignment horizontal="center" vertical="top" wrapText="1"/>
      <protection/>
    </xf>
    <xf numFmtId="0" fontId="0" fillId="20" borderId="40" xfId="61" applyFill="1" applyBorder="1" applyAlignment="1" applyProtection="1">
      <alignment horizontal="left"/>
      <protection/>
    </xf>
    <xf numFmtId="0" fontId="0" fillId="20" borderId="113" xfId="61" applyFill="1" applyBorder="1" applyAlignment="1" applyProtection="1">
      <alignment horizontal="left"/>
      <protection/>
    </xf>
    <xf numFmtId="0" fontId="37" fillId="0" borderId="94" xfId="61" applyFont="1" applyBorder="1" applyAlignment="1" applyProtection="1">
      <alignment horizontal="left"/>
      <protection/>
    </xf>
    <xf numFmtId="0" fontId="37" fillId="0" borderId="26" xfId="61" applyFont="1" applyBorder="1" applyAlignment="1" applyProtection="1">
      <alignment horizontal="left"/>
      <protection/>
    </xf>
    <xf numFmtId="0" fontId="37" fillId="0" borderId="113" xfId="61" applyFont="1" applyBorder="1" applyAlignment="1" applyProtection="1">
      <alignment horizontal="left"/>
      <protection/>
    </xf>
    <xf numFmtId="0" fontId="0" fillId="20" borderId="94" xfId="61" applyFill="1" applyBorder="1" applyAlignment="1" applyProtection="1">
      <alignment horizontal="left"/>
      <protection/>
    </xf>
    <xf numFmtId="0" fontId="0" fillId="0" borderId="0" xfId="61" applyFont="1" applyAlignment="1" applyProtection="1">
      <alignment horizontal="left" vertical="top" wrapText="1"/>
      <protection/>
    </xf>
    <xf numFmtId="0" fontId="0" fillId="20" borderId="57" xfId="61" applyFill="1" applyBorder="1" applyAlignment="1" applyProtection="1">
      <alignment horizontal="left"/>
      <protection/>
    </xf>
    <xf numFmtId="0" fontId="0" fillId="20" borderId="91" xfId="61" applyFill="1" applyBorder="1" applyAlignment="1" applyProtection="1">
      <alignment horizontal="left"/>
      <protection/>
    </xf>
    <xf numFmtId="0" fontId="37" fillId="0" borderId="119" xfId="61" applyFont="1" applyBorder="1" applyAlignment="1" applyProtection="1">
      <alignment horizontal="left"/>
      <protection/>
    </xf>
    <xf numFmtId="0" fontId="37" fillId="0" borderId="55" xfId="61" applyFont="1" applyBorder="1" applyAlignment="1" applyProtection="1">
      <alignment horizontal="left"/>
      <protection/>
    </xf>
    <xf numFmtId="0" fontId="37" fillId="0" borderId="91" xfId="61" applyFont="1" applyBorder="1" applyAlignment="1" applyProtection="1">
      <alignment horizontal="left"/>
      <protection/>
    </xf>
    <xf numFmtId="0" fontId="0" fillId="20" borderId="119" xfId="61" applyFill="1" applyBorder="1" applyAlignment="1" applyProtection="1">
      <alignment horizontal="left"/>
      <protection/>
    </xf>
    <xf numFmtId="0" fontId="37" fillId="0" borderId="42" xfId="61" applyFont="1" applyBorder="1" applyAlignment="1" applyProtection="1">
      <alignment horizontal="left"/>
      <protection/>
    </xf>
    <xf numFmtId="0" fontId="28" fillId="0" borderId="0" xfId="0" applyFont="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97" xfId="61" applyBorder="1" applyAlignment="1" applyProtection="1">
      <alignment horizontal="left"/>
      <protection/>
    </xf>
    <xf numFmtId="0" fontId="54" fillId="0" borderId="0" xfId="61" applyFont="1" applyAlignment="1" applyProtection="1">
      <alignment horizontal="center" wrapText="1"/>
      <protection/>
    </xf>
    <xf numFmtId="0" fontId="54" fillId="0" borderId="0" xfId="61" applyFont="1" applyAlignment="1" applyProtection="1">
      <alignment horizontal="center"/>
      <protection/>
    </xf>
    <xf numFmtId="175" fontId="0" fillId="0" borderId="89" xfId="61" applyNumberFormat="1" applyBorder="1" applyAlignment="1" applyProtection="1">
      <alignment horizontal="left"/>
      <protection/>
    </xf>
    <xf numFmtId="0" fontId="55" fillId="0" borderId="0" xfId="0" applyFont="1" applyAlignment="1" applyProtection="1">
      <alignment horizontal="center" vertical="center"/>
      <protection/>
    </xf>
    <xf numFmtId="0" fontId="0" fillId="0" borderId="0" xfId="0" applyFont="1" applyAlignment="1" applyProtection="1">
      <alignment horizontal="left" vertical="top" wrapText="1" indent="1"/>
      <protection/>
    </xf>
    <xf numFmtId="0" fontId="0" fillId="20" borderId="57" xfId="61" applyFont="1" applyFill="1" applyBorder="1" applyAlignment="1" applyProtection="1">
      <alignment horizontal="left"/>
      <protection/>
    </xf>
    <xf numFmtId="0" fontId="0" fillId="20" borderId="119" xfId="61" applyFont="1" applyFill="1" applyBorder="1" applyAlignment="1" applyProtection="1">
      <alignment horizontal="left"/>
      <protection/>
    </xf>
    <xf numFmtId="175" fontId="0" fillId="0" borderId="97" xfId="61" applyNumberFormat="1" applyBorder="1" applyAlignment="1" applyProtection="1">
      <alignment horizontal="left"/>
      <protection/>
    </xf>
    <xf numFmtId="0" fontId="0" fillId="20" borderId="50" xfId="61" applyFont="1" applyFill="1" applyBorder="1" applyAlignment="1" applyProtection="1">
      <alignment horizontal="left"/>
      <protection/>
    </xf>
    <xf numFmtId="176" fontId="37" fillId="0" borderId="48" xfId="61" applyNumberFormat="1" applyFont="1" applyBorder="1" applyAlignment="1" applyProtection="1">
      <alignment horizontal="left"/>
      <protection/>
    </xf>
    <xf numFmtId="176" fontId="37" fillId="0" borderId="0" xfId="61" applyNumberFormat="1" applyFont="1" applyBorder="1" applyAlignment="1" applyProtection="1">
      <alignment horizontal="left"/>
      <protection/>
    </xf>
    <xf numFmtId="176" fontId="37" fillId="0" borderId="33" xfId="61" applyNumberFormat="1" applyFont="1" applyBorder="1" applyAlignment="1" applyProtection="1">
      <alignment horizontal="left"/>
      <protection/>
    </xf>
    <xf numFmtId="3" fontId="37" fillId="0" borderId="0" xfId="61" applyNumberFormat="1" applyFont="1" applyFill="1" applyBorder="1" applyAlignment="1" applyProtection="1">
      <alignment horizontal="center" vertical="top" wrapText="1"/>
      <protection/>
    </xf>
    <xf numFmtId="3" fontId="37" fillId="0" borderId="33" xfId="61" applyNumberFormat="1" applyFont="1" applyFill="1" applyBorder="1" applyAlignment="1" applyProtection="1">
      <alignment horizontal="center" vertical="top" wrapText="1"/>
      <protection/>
    </xf>
    <xf numFmtId="0" fontId="0" fillId="20" borderId="40" xfId="61" applyFont="1" applyFill="1" applyBorder="1" applyAlignment="1" applyProtection="1">
      <alignment horizontal="left"/>
      <protection/>
    </xf>
    <xf numFmtId="0" fontId="0" fillId="20" borderId="94" xfId="61" applyFont="1" applyFill="1" applyBorder="1" applyAlignment="1" applyProtection="1">
      <alignment horizontal="left"/>
      <protection/>
    </xf>
    <xf numFmtId="0" fontId="8" fillId="0" borderId="0" xfId="62" applyFont="1" applyAlignment="1" applyProtection="1">
      <alignment horizontal="center"/>
      <protection/>
    </xf>
    <xf numFmtId="0" fontId="8" fillId="0" borderId="26" xfId="62" applyFont="1" applyFill="1" applyBorder="1" applyAlignment="1" applyProtection="1">
      <alignment horizontal="center"/>
      <protection/>
    </xf>
    <xf numFmtId="0" fontId="8" fillId="0" borderId="113" xfId="62" applyFont="1" applyFill="1" applyBorder="1" applyAlignment="1" applyProtection="1">
      <alignment horizontal="center"/>
      <protection/>
    </xf>
    <xf numFmtId="0" fontId="37" fillId="0" borderId="0" xfId="61" applyFont="1" applyFill="1" applyAlignment="1" applyProtection="1">
      <alignment horizontal="left" wrapText="1"/>
      <protection/>
    </xf>
    <xf numFmtId="0" fontId="0" fillId="0" borderId="0" xfId="61" applyFont="1" applyFill="1" applyBorder="1" applyAlignment="1" applyProtection="1">
      <alignment horizontal="left" wrapText="1"/>
      <protection/>
    </xf>
    <xf numFmtId="0" fontId="0" fillId="0" borderId="0" xfId="0" applyFont="1" applyAlignment="1" applyProtection="1">
      <alignment horizontal="left" vertical="top" wrapText="1"/>
      <protection/>
    </xf>
    <xf numFmtId="0" fontId="0" fillId="0" borderId="0" xfId="0" applyFont="1" applyAlignment="1" applyProtection="1">
      <alignment horizontal="left" wrapText="1"/>
      <protection/>
    </xf>
    <xf numFmtId="0" fontId="0" fillId="0" borderId="0" xfId="0" applyAlignment="1" applyProtection="1">
      <alignment horizontal="left" wrapText="1"/>
      <protection/>
    </xf>
    <xf numFmtId="0" fontId="0" fillId="7" borderId="17" xfId="0" applyFill="1" applyBorder="1" applyAlignment="1" applyProtection="1">
      <alignment/>
      <protection/>
    </xf>
    <xf numFmtId="0" fontId="0" fillId="0" borderId="17" xfId="0" applyFill="1" applyBorder="1" applyAlignment="1" applyProtection="1">
      <alignment/>
      <protection/>
    </xf>
    <xf numFmtId="0" fontId="32" fillId="0" borderId="0" xfId="0" applyFont="1" applyAlignment="1" applyProtection="1">
      <alignment horizontal="center"/>
      <protection/>
    </xf>
    <xf numFmtId="0" fontId="32" fillId="0" borderId="33" xfId="0" applyFont="1" applyBorder="1" applyAlignment="1" applyProtection="1">
      <alignment horizontal="center"/>
      <protection/>
    </xf>
    <xf numFmtId="0" fontId="28" fillId="0" borderId="49" xfId="0" applyFont="1" applyFill="1" applyBorder="1" applyAlignment="1" applyProtection="1">
      <alignment horizontal="center" wrapText="1"/>
      <protection/>
    </xf>
    <xf numFmtId="0" fontId="28" fillId="0" borderId="16" xfId="0" applyFont="1" applyFill="1" applyBorder="1" applyAlignment="1" applyProtection="1">
      <alignment horizontal="center" wrapText="1"/>
      <protection/>
    </xf>
    <xf numFmtId="0" fontId="0" fillId="0" borderId="56" xfId="0" applyFont="1" applyFill="1" applyBorder="1" applyAlignment="1" applyProtection="1">
      <alignment horizontal="center"/>
      <protection/>
    </xf>
    <xf numFmtId="0" fontId="0" fillId="0" borderId="120" xfId="0" applyFill="1" applyBorder="1" applyAlignment="1" applyProtection="1">
      <alignment horizontal="center"/>
      <protection/>
    </xf>
    <xf numFmtId="3" fontId="0" fillId="0" borderId="56" xfId="0" applyNumberFormat="1" applyFill="1" applyBorder="1" applyAlignment="1" applyProtection="1">
      <alignment horizontal="center"/>
      <protection/>
    </xf>
    <xf numFmtId="0" fontId="0" fillId="24" borderId="27" xfId="0" applyFill="1" applyBorder="1" applyAlignment="1" applyProtection="1">
      <alignment horizontal="center"/>
      <protection locked="0"/>
    </xf>
    <xf numFmtId="0" fontId="0" fillId="0" borderId="48" xfId="0" applyFill="1" applyBorder="1" applyAlignment="1" applyProtection="1">
      <alignment horizontal="center"/>
      <protection/>
    </xf>
    <xf numFmtId="0" fontId="0" fillId="0" borderId="33" xfId="0" applyFill="1" applyBorder="1" applyAlignment="1" applyProtection="1">
      <alignment horizontal="center"/>
      <protection/>
    </xf>
    <xf numFmtId="0" fontId="0" fillId="24" borderId="27" xfId="0" applyFont="1" applyFill="1" applyBorder="1" applyAlignment="1" applyProtection="1">
      <alignment horizontal="center"/>
      <protection locked="0"/>
    </xf>
    <xf numFmtId="0" fontId="0" fillId="0" borderId="27" xfId="0" applyFont="1" applyFill="1" applyBorder="1" applyAlignment="1" applyProtection="1">
      <alignment horizontal="center"/>
      <protection/>
    </xf>
    <xf numFmtId="0" fontId="0" fillId="0" borderId="27" xfId="0" applyFill="1" applyBorder="1" applyAlignment="1" applyProtection="1">
      <alignment horizontal="center"/>
      <protection/>
    </xf>
    <xf numFmtId="0" fontId="39" fillId="0" borderId="49" xfId="0" applyFont="1" applyFill="1" applyBorder="1" applyAlignment="1" applyProtection="1">
      <alignment horizontal="center" wrapText="1"/>
      <protection/>
    </xf>
    <xf numFmtId="0" fontId="39" fillId="0" borderId="96" xfId="0" applyFont="1" applyBorder="1" applyAlignment="1" applyProtection="1">
      <alignment horizontal="center"/>
      <protection/>
    </xf>
    <xf numFmtId="0" fontId="39" fillId="0" borderId="98" xfId="0" applyFont="1" applyBorder="1" applyAlignment="1" applyProtection="1">
      <alignment horizontal="center"/>
      <protection/>
    </xf>
    <xf numFmtId="0" fontId="39" fillId="0" borderId="89" xfId="0" applyFont="1" applyBorder="1" applyAlignment="1" applyProtection="1">
      <alignment horizontal="center"/>
      <protection/>
    </xf>
    <xf numFmtId="0" fontId="12" fillId="21" borderId="25" xfId="0" applyFont="1" applyFill="1" applyBorder="1" applyAlignment="1" applyProtection="1">
      <alignment/>
      <protection/>
    </xf>
    <xf numFmtId="0" fontId="0" fillId="0" borderId="38" xfId="0" applyBorder="1" applyAlignment="1" applyProtection="1">
      <alignment/>
      <protection/>
    </xf>
    <xf numFmtId="0" fontId="0" fillId="0" borderId="121" xfId="0" applyBorder="1" applyAlignment="1" applyProtection="1">
      <alignment/>
      <protection/>
    </xf>
    <xf numFmtId="0" fontId="0" fillId="0" borderId="25" xfId="0" applyBorder="1" applyAlignment="1" applyProtection="1">
      <alignment/>
      <protection/>
    </xf>
    <xf numFmtId="0" fontId="0" fillId="0" borderId="25" xfId="0" applyFont="1" applyBorder="1" applyAlignment="1" applyProtection="1">
      <alignment/>
      <protection/>
    </xf>
    <xf numFmtId="0" fontId="0" fillId="0" borderId="38" xfId="0" applyFont="1" applyBorder="1" applyAlignment="1" applyProtection="1">
      <alignment/>
      <protection/>
    </xf>
    <xf numFmtId="0" fontId="0" fillId="0" borderId="121" xfId="0" applyFont="1" applyBorder="1" applyAlignment="1" applyProtection="1">
      <alignment/>
      <protection/>
    </xf>
    <xf numFmtId="0" fontId="12" fillId="21" borderId="119" xfId="0" applyFont="1" applyFill="1" applyBorder="1" applyAlignment="1" applyProtection="1">
      <alignment horizontal="center"/>
      <protection/>
    </xf>
    <xf numFmtId="0" fontId="12" fillId="21" borderId="55" xfId="0" applyFont="1" applyFill="1" applyBorder="1" applyAlignment="1" applyProtection="1">
      <alignment horizontal="center"/>
      <protection/>
    </xf>
    <xf numFmtId="0" fontId="12" fillId="21" borderId="91" xfId="0" applyFont="1" applyFill="1" applyBorder="1" applyAlignment="1" applyProtection="1">
      <alignment horizontal="center"/>
      <protection/>
    </xf>
    <xf numFmtId="0" fontId="12" fillId="21" borderId="42" xfId="0" applyFont="1" applyFill="1" applyBorder="1" applyAlignment="1" applyProtection="1">
      <alignment horizontal="center"/>
      <protection/>
    </xf>
    <xf numFmtId="0" fontId="12" fillId="21" borderId="36" xfId="0" applyFont="1" applyFill="1" applyBorder="1" applyAlignment="1" applyProtection="1">
      <alignment horizontal="center" wrapText="1"/>
      <protection/>
    </xf>
    <xf numFmtId="0" fontId="44" fillId="22" borderId="25" xfId="63" applyFont="1" applyFill="1" applyBorder="1" applyAlignment="1">
      <alignment horizontal="center"/>
      <protection/>
    </xf>
    <xf numFmtId="0" fontId="44" fillId="22" borderId="39" xfId="63" applyFont="1" applyFill="1" applyBorder="1" applyAlignment="1">
      <alignment horizontal="center"/>
      <protection/>
    </xf>
    <xf numFmtId="0" fontId="44" fillId="22" borderId="38" xfId="63" applyFont="1" applyFill="1" applyBorder="1" applyAlignment="1">
      <alignment horizontal="center"/>
      <protection/>
    </xf>
    <xf numFmtId="0" fontId="0" fillId="21" borderId="92" xfId="0" applyFont="1" applyFill="1" applyBorder="1" applyAlignment="1" applyProtection="1">
      <alignment horizontal="center" vertical="center" wrapText="1"/>
      <protection/>
    </xf>
    <xf numFmtId="9" fontId="37" fillId="0" borderId="62" xfId="66" applyFont="1" applyFill="1" applyBorder="1" applyAlignment="1" applyProtection="1">
      <alignment horizontal="center"/>
      <protection/>
    </xf>
    <xf numFmtId="9" fontId="37" fillId="0" borderId="33" xfId="66" applyFont="1" applyFill="1" applyBorder="1" applyAlignment="1" applyProtection="1">
      <alignment horizontal="center"/>
      <protection/>
    </xf>
    <xf numFmtId="9" fontId="37" fillId="0" borderId="54" xfId="66" applyFont="1" applyFill="1" applyBorder="1" applyAlignment="1" applyProtection="1">
      <alignment horizontal="center"/>
      <protection/>
    </xf>
    <xf numFmtId="3" fontId="37" fillId="0" borderId="93" xfId="0" applyNumberFormat="1" applyFont="1" applyFill="1" applyBorder="1" applyAlignment="1" applyProtection="1">
      <alignment horizontal="center" vertical="top" wrapText="1"/>
      <protection/>
    </xf>
    <xf numFmtId="3" fontId="37" fillId="0" borderId="62" xfId="0" applyNumberFormat="1" applyFont="1" applyFill="1" applyBorder="1" applyAlignment="1" applyProtection="1">
      <alignment horizontal="center" vertical="top" wrapText="1"/>
      <protection/>
    </xf>
    <xf numFmtId="3" fontId="37" fillId="0" borderId="0" xfId="0" applyNumberFormat="1" applyFont="1" applyFill="1" applyBorder="1" applyAlignment="1" applyProtection="1">
      <alignment horizontal="center" vertical="top" wrapText="1"/>
      <protection/>
    </xf>
    <xf numFmtId="3" fontId="37" fillId="0" borderId="33" xfId="0" applyNumberFormat="1" applyFont="1" applyFill="1" applyBorder="1" applyAlignment="1" applyProtection="1">
      <alignment horizontal="center" vertical="top" wrapText="1"/>
      <protection/>
    </xf>
    <xf numFmtId="3" fontId="37" fillId="0" borderId="48" xfId="0" applyNumberFormat="1" applyFont="1" applyFill="1" applyBorder="1" applyAlignment="1" applyProtection="1">
      <alignment horizontal="center" vertical="top" wrapText="1"/>
      <protection/>
    </xf>
    <xf numFmtId="3" fontId="37" fillId="0" borderId="63" xfId="0" applyNumberFormat="1" applyFont="1" applyFill="1" applyBorder="1" applyAlignment="1" applyProtection="1">
      <alignment horizontal="center" vertical="top" wrapText="1"/>
      <protection/>
    </xf>
    <xf numFmtId="3" fontId="37" fillId="0" borderId="54" xfId="0" applyNumberFormat="1" applyFont="1" applyFill="1" applyBorder="1" applyAlignment="1" applyProtection="1">
      <alignment horizontal="center" vertical="top" wrapText="1"/>
      <protection/>
    </xf>
    <xf numFmtId="3" fontId="37" fillId="0" borderId="94" xfId="0" applyNumberFormat="1" applyFont="1" applyFill="1" applyBorder="1" applyAlignment="1" applyProtection="1">
      <alignment horizontal="center" vertical="top" wrapText="1"/>
      <protection/>
    </xf>
    <xf numFmtId="3" fontId="37" fillId="0" borderId="113" xfId="0" applyNumberFormat="1" applyFont="1" applyFill="1" applyBorder="1" applyAlignment="1" applyProtection="1">
      <alignment horizontal="center" vertical="top" wrapText="1"/>
      <protection/>
    </xf>
    <xf numFmtId="3" fontId="37" fillId="24" borderId="48" xfId="0" applyNumberFormat="1" applyFont="1" applyFill="1" applyBorder="1" applyAlignment="1" applyProtection="1">
      <alignment horizontal="center" vertical="top" wrapText="1"/>
      <protection locked="0"/>
    </xf>
    <xf numFmtId="3" fontId="37" fillId="24" borderId="33" xfId="0" applyNumberFormat="1" applyFont="1" applyFill="1" applyBorder="1" applyAlignment="1" applyProtection="1">
      <alignment horizontal="center" vertical="top" wrapText="1"/>
      <protection locked="0"/>
    </xf>
    <xf numFmtId="3" fontId="37" fillId="24" borderId="63" xfId="0" applyNumberFormat="1" applyFont="1" applyFill="1" applyBorder="1" applyAlignment="1" applyProtection="1">
      <alignment horizontal="center" vertical="top" wrapText="1"/>
      <protection locked="0"/>
    </xf>
    <xf numFmtId="3" fontId="37" fillId="24" borderId="54" xfId="0" applyNumberFormat="1" applyFont="1" applyFill="1" applyBorder="1" applyAlignment="1" applyProtection="1">
      <alignment horizontal="center" vertical="top" wrapText="1"/>
      <protection locked="0"/>
    </xf>
    <xf numFmtId="165" fontId="37" fillId="0" borderId="93" xfId="66" applyNumberFormat="1" applyFont="1" applyFill="1" applyBorder="1" applyAlignment="1" applyProtection="1">
      <alignment horizontal="center"/>
      <protection/>
    </xf>
    <xf numFmtId="165" fontId="37" fillId="0" borderId="102" xfId="66" applyNumberFormat="1" applyFont="1" applyFill="1" applyBorder="1" applyAlignment="1" applyProtection="1">
      <alignment horizontal="center"/>
      <protection/>
    </xf>
    <xf numFmtId="165" fontId="37" fillId="0" borderId="48" xfId="66" applyNumberFormat="1" applyFont="1" applyFill="1" applyBorder="1" applyAlignment="1" applyProtection="1">
      <alignment horizontal="center"/>
      <protection/>
    </xf>
    <xf numFmtId="165" fontId="37" fillId="0" borderId="36" xfId="66" applyNumberFormat="1" applyFont="1" applyFill="1" applyBorder="1" applyAlignment="1" applyProtection="1">
      <alignment horizontal="center"/>
      <protection/>
    </xf>
    <xf numFmtId="165" fontId="37" fillId="0" borderId="63" xfId="66" applyNumberFormat="1" applyFont="1" applyFill="1" applyBorder="1" applyAlignment="1" applyProtection="1">
      <alignment horizontal="center"/>
      <protection/>
    </xf>
    <xf numFmtId="165" fontId="37" fillId="0" borderId="107" xfId="66" applyNumberFormat="1" applyFont="1" applyFill="1" applyBorder="1" applyAlignment="1" applyProtection="1">
      <alignment horizontal="center"/>
      <protection/>
    </xf>
    <xf numFmtId="0" fontId="24" fillId="22" borderId="0" xfId="62" applyFont="1" applyFill="1" applyAlignment="1">
      <alignment/>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_NC - Project Name - ERP Tables_rev0_SWA" xfId="61"/>
    <cellStyle name="Normal_Supporting Info" xfId="62"/>
    <cellStyle name="Normal_WaterCalc 11 07 08" xfId="63"/>
    <cellStyle name="Note" xfId="64"/>
    <cellStyle name="Output" xfId="65"/>
    <cellStyle name="Percent" xfId="66"/>
    <cellStyle name="Percent 2" xfId="67"/>
    <cellStyle name="Title" xfId="68"/>
    <cellStyle name="Total" xfId="69"/>
    <cellStyle name="Warning Text" xfId="70"/>
  </cellStyles>
  <dxfs count="23">
    <dxf>
      <font>
        <color theme="0"/>
      </font>
    </dxf>
    <dxf>
      <font>
        <b/>
        <i val="0"/>
      </font>
    </dxf>
    <dxf>
      <font>
        <b/>
        <i val="0"/>
      </font>
    </dxf>
    <dxf>
      <font>
        <color theme="0"/>
      </font>
    </dxf>
    <dxf>
      <font>
        <b/>
        <i val="0"/>
      </font>
    </dxf>
    <dxf>
      <font>
        <color theme="0"/>
      </font>
    </dxf>
    <dxf>
      <font>
        <b val="0"/>
        <i val="0"/>
        <color auto="1"/>
      </font>
    </dxf>
    <dxf>
      <font>
        <color theme="0"/>
      </font>
    </dxf>
    <dxf>
      <font>
        <b/>
        <i val="0"/>
      </font>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rgb="FF9C0006"/>
      </font>
      <fill>
        <patternFill>
          <bgColor rgb="FFFFC7CE"/>
        </patternFill>
      </fill>
    </dxf>
    <dxf>
      <font>
        <color auto="1"/>
      </font>
      <fill>
        <patternFill>
          <bgColor indexed="10"/>
        </patternFill>
      </fill>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Support_Docs\NYSRDA_MF_Performance_Prg\Modeling%20Partner%20Resources\New%20Construction\Official%20Project%20Name%20-%20Draft%20Proposed%20ERP%20Tables_rev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 and Vent TREAT"/>
      <sheetName val="Windows eQuest"/>
      <sheetName val="Lighting eQuest"/>
      <sheetName val="DHW eQuest"/>
      <sheetName val="Appliances eQuest"/>
      <sheetName val="Result Summary eQuest"/>
      <sheetName val="Basic Info"/>
      <sheetName val="Exterior Lighting"/>
      <sheetName val="In-unit Lighting"/>
      <sheetName val="Interior Lighting"/>
      <sheetName val="Lighting Schedule"/>
      <sheetName val="Inf and Vent NEW"/>
      <sheetName val="Cooling Eff and Fan Power"/>
      <sheetName val="Water Savings"/>
      <sheetName val="Simulation Summary"/>
      <sheetName val="Tables of Values"/>
      <sheetName val="RECS - Baseline"/>
      <sheetName val="Locator Map"/>
      <sheetName val="Side Calcs - Baseline"/>
      <sheetName val="ZipCode Map"/>
      <sheetName val="Worksheet - Design - Baseline"/>
      <sheetName val="RECS - Proposed"/>
      <sheetName val="Worksheet - Design - Proposed"/>
      <sheetName val="Side Calcs - Proposed"/>
      <sheetName val="ERP - Instructions"/>
      <sheetName val="ERP - Simulation Summary"/>
      <sheetName val="ERP - Recommendations Summary"/>
      <sheetName val="ERP - Financial Summary"/>
      <sheetName val="ERP - Contacts"/>
      <sheetName val="ERP - Areas"/>
      <sheetName val="ERP - Unit Count"/>
      <sheetName val="ERP - Components"/>
      <sheetName val="ERP - End Use Summary"/>
      <sheetName val="ERP - Schedule"/>
      <sheetName val="ERP - Financing Plan"/>
      <sheetName val="Zip Code Finder"/>
      <sheetName val="Help"/>
    </sheetNames>
    <sheetDataSet>
      <sheetData sheetId="10">
        <row r="3">
          <cell r="X3" t="str">
            <v>Yes</v>
          </cell>
        </row>
        <row r="4">
          <cell r="X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4"/>
  <sheetViews>
    <sheetView tabSelected="1" workbookViewId="0" topLeftCell="A1">
      <selection activeCell="B9" sqref="B9"/>
    </sheetView>
  </sheetViews>
  <sheetFormatPr defaultColWidth="9.140625" defaultRowHeight="12.75"/>
  <cols>
    <col min="2" max="2" width="112.7109375" style="0" customWidth="1"/>
    <col min="3" max="16384" width="9.140625" style="724" customWidth="1"/>
  </cols>
  <sheetData>
    <row r="1" spans="1:2" ht="20.25">
      <c r="A1" s="190" t="s">
        <v>752</v>
      </c>
      <c r="B1" s="191"/>
    </row>
    <row r="2" spans="1:2" ht="20.25">
      <c r="A2" s="190" t="s">
        <v>846</v>
      </c>
      <c r="B2" s="191"/>
    </row>
    <row r="3" spans="1:2" ht="13.5" thickBot="1">
      <c r="A3" s="192"/>
      <c r="B3" s="193"/>
    </row>
    <row r="4" spans="1:2" ht="35.25" customHeight="1">
      <c r="A4" s="815" t="s">
        <v>775</v>
      </c>
      <c r="B4" s="816"/>
    </row>
    <row r="5" spans="1:2" ht="15.75">
      <c r="A5" s="194"/>
      <c r="B5" s="195"/>
    </row>
    <row r="6" spans="1:2" ht="30.75" customHeight="1">
      <c r="A6" s="817" t="s">
        <v>774</v>
      </c>
      <c r="B6" s="818"/>
    </row>
    <row r="7" spans="1:2" ht="15.75">
      <c r="A7" s="194"/>
      <c r="B7" s="195"/>
    </row>
    <row r="8" spans="1:2" ht="15.75">
      <c r="A8" s="196" t="s">
        <v>753</v>
      </c>
      <c r="B8" s="197"/>
    </row>
    <row r="9" spans="1:2" ht="63">
      <c r="A9" s="196"/>
      <c r="B9" s="198" t="s">
        <v>766</v>
      </c>
    </row>
    <row r="10" spans="1:2" ht="15.75">
      <c r="A10" s="196"/>
      <c r="B10" s="197"/>
    </row>
    <row r="11" spans="1:2" ht="15.75">
      <c r="A11" s="199" t="s">
        <v>754</v>
      </c>
      <c r="B11" s="200"/>
    </row>
    <row r="12" spans="1:2" ht="47.25">
      <c r="A12" s="81"/>
      <c r="B12" s="198" t="s">
        <v>767</v>
      </c>
    </row>
    <row r="13" spans="1:5" ht="15.75">
      <c r="A13" s="196"/>
      <c r="B13" s="201"/>
      <c r="E13" s="725"/>
    </row>
    <row r="14" spans="1:2" ht="15.75">
      <c r="A14" s="196" t="s">
        <v>755</v>
      </c>
      <c r="B14" s="197"/>
    </row>
    <row r="15" spans="1:2" ht="31.5">
      <c r="A15" s="196"/>
      <c r="B15" s="198" t="s">
        <v>781</v>
      </c>
    </row>
    <row r="16" spans="1:2" ht="15.75">
      <c r="A16" s="196"/>
      <c r="B16" s="197"/>
    </row>
    <row r="17" spans="1:2" ht="15.75">
      <c r="A17" s="196" t="s">
        <v>756</v>
      </c>
      <c r="B17" s="197"/>
    </row>
    <row r="18" spans="1:2" ht="31.5">
      <c r="A18" s="196"/>
      <c r="B18" s="198" t="s">
        <v>768</v>
      </c>
    </row>
    <row r="19" spans="1:2" ht="15.75">
      <c r="A19" s="196"/>
      <c r="B19" s="197"/>
    </row>
    <row r="20" spans="1:2" ht="15.75">
      <c r="A20" s="196" t="s">
        <v>790</v>
      </c>
      <c r="B20" s="197"/>
    </row>
    <row r="21" spans="1:2" ht="31.5">
      <c r="A21" s="196"/>
      <c r="B21" s="198" t="s">
        <v>795</v>
      </c>
    </row>
    <row r="22" spans="1:2" ht="15.75">
      <c r="A22" s="196"/>
      <c r="B22" s="197"/>
    </row>
    <row r="23" spans="1:2" ht="15.75">
      <c r="A23" s="196" t="s">
        <v>757</v>
      </c>
      <c r="B23" s="197"/>
    </row>
    <row r="24" spans="1:2" ht="47.25">
      <c r="A24" s="196"/>
      <c r="B24" s="198" t="s">
        <v>769</v>
      </c>
    </row>
    <row r="25" spans="1:2" ht="12.75">
      <c r="A25" s="202"/>
      <c r="B25" s="203"/>
    </row>
    <row r="26" spans="1:2" ht="15.75">
      <c r="A26" s="196" t="s">
        <v>758</v>
      </c>
      <c r="B26" s="197"/>
    </row>
    <row r="27" spans="1:2" ht="31.5">
      <c r="A27" s="196"/>
      <c r="B27" s="198" t="s">
        <v>770</v>
      </c>
    </row>
    <row r="28" spans="1:2" ht="12.75">
      <c r="A28" s="202"/>
      <c r="B28" s="203"/>
    </row>
    <row r="29" spans="1:2" ht="15.75">
      <c r="A29" s="196" t="s">
        <v>107</v>
      </c>
      <c r="B29" s="197"/>
    </row>
    <row r="30" spans="1:2" ht="15.75">
      <c r="A30" s="196"/>
      <c r="B30" s="198" t="s">
        <v>771</v>
      </c>
    </row>
    <row r="31" spans="1:2" ht="12.75">
      <c r="A31" s="202"/>
      <c r="B31" s="203"/>
    </row>
    <row r="32" spans="1:2" ht="15.75">
      <c r="A32" s="196" t="s">
        <v>759</v>
      </c>
      <c r="B32" s="197"/>
    </row>
    <row r="33" spans="1:2" ht="31.5">
      <c r="A33" s="196"/>
      <c r="B33" s="198" t="s">
        <v>796</v>
      </c>
    </row>
    <row r="34" spans="1:2" ht="12.75">
      <c r="A34" s="202"/>
      <c r="B34" s="203"/>
    </row>
    <row r="35" spans="1:2" ht="15.75">
      <c r="A35" s="196" t="s">
        <v>760</v>
      </c>
      <c r="B35" s="197"/>
    </row>
    <row r="36" spans="1:2" ht="63">
      <c r="A36" s="204"/>
      <c r="B36" s="198" t="s">
        <v>808</v>
      </c>
    </row>
    <row r="37" spans="1:2" ht="12.75">
      <c r="A37" s="202"/>
      <c r="B37" s="203"/>
    </row>
    <row r="38" spans="1:2" ht="15.75">
      <c r="A38" s="196" t="s">
        <v>761</v>
      </c>
      <c r="B38" s="197"/>
    </row>
    <row r="39" spans="1:2" ht="94.5">
      <c r="A39" s="196"/>
      <c r="B39" s="198" t="s">
        <v>772</v>
      </c>
    </row>
    <row r="40" spans="1:2" ht="12.75">
      <c r="A40" s="202"/>
      <c r="B40" s="203"/>
    </row>
    <row r="41" spans="1:2" ht="15.75">
      <c r="A41" s="196" t="s">
        <v>762</v>
      </c>
      <c r="B41" s="197"/>
    </row>
    <row r="42" spans="1:2" ht="31.5">
      <c r="A42" s="196"/>
      <c r="B42" s="198" t="s">
        <v>773</v>
      </c>
    </row>
    <row r="43" spans="1:2" ht="12.75">
      <c r="A43" s="202"/>
      <c r="B43" s="203"/>
    </row>
    <row r="44" spans="1:2" ht="15.75">
      <c r="A44" s="196" t="s">
        <v>763</v>
      </c>
      <c r="B44" s="197"/>
    </row>
    <row r="45" spans="1:2" ht="47.25">
      <c r="A45" s="196"/>
      <c r="B45" s="198" t="s">
        <v>794</v>
      </c>
    </row>
    <row r="46" spans="1:2" ht="15.75">
      <c r="A46" s="196"/>
      <c r="B46" s="197"/>
    </row>
    <row r="47" spans="1:2" ht="15.75">
      <c r="A47" s="196" t="s">
        <v>764</v>
      </c>
      <c r="B47" s="197"/>
    </row>
    <row r="48" spans="1:2" ht="31.5">
      <c r="A48" s="196"/>
      <c r="B48" s="198" t="s">
        <v>793</v>
      </c>
    </row>
    <row r="49" spans="1:2" ht="15.75">
      <c r="A49" s="196"/>
      <c r="B49" s="197"/>
    </row>
    <row r="50" spans="1:2" ht="15.75">
      <c r="A50" s="196" t="s">
        <v>791</v>
      </c>
      <c r="B50" s="197"/>
    </row>
    <row r="51" spans="1:2" ht="47.25">
      <c r="A51" s="196"/>
      <c r="B51" s="198" t="s">
        <v>797</v>
      </c>
    </row>
    <row r="52" spans="1:2" ht="12.75">
      <c r="A52" s="202"/>
      <c r="B52" s="203"/>
    </row>
    <row r="53" spans="1:2" ht="15.75">
      <c r="A53" s="196" t="s">
        <v>765</v>
      </c>
      <c r="B53" s="197"/>
    </row>
    <row r="54" spans="1:2" ht="48" thickBot="1">
      <c r="A54" s="205"/>
      <c r="B54" s="206" t="s">
        <v>792</v>
      </c>
    </row>
  </sheetData>
  <sheetProtection sheet="1" objects="1" scenarios="1"/>
  <mergeCells count="2">
    <mergeCell ref="A4:B4"/>
    <mergeCell ref="A6:B6"/>
  </mergeCells>
  <printOptions/>
  <pageMargins left="0.7" right="0.7" top="0.75" bottom="0.75" header="0.3" footer="0.3"/>
  <pageSetup fitToHeight="1" fitToWidth="1" horizontalDpi="600" verticalDpi="600" orientation="portrait" scale="55" r:id="rId3"/>
  <legacyDrawing r:id="rId2"/>
</worksheet>
</file>

<file path=xl/worksheets/sheet10.xml><?xml version="1.0" encoding="utf-8"?>
<worksheet xmlns="http://schemas.openxmlformats.org/spreadsheetml/2006/main" xmlns:r="http://schemas.openxmlformats.org/officeDocument/2006/relationships">
  <sheetPr>
    <tabColor indexed="60"/>
  </sheetPr>
  <dimension ref="A1:G44"/>
  <sheetViews>
    <sheetView zoomScalePageLayoutView="0" workbookViewId="0" topLeftCell="A1">
      <selection activeCell="C12" sqref="C12"/>
    </sheetView>
  </sheetViews>
  <sheetFormatPr defaultColWidth="9.140625" defaultRowHeight="12.75"/>
  <cols>
    <col min="1" max="1" width="2.00390625" style="724" bestFit="1" customWidth="1"/>
    <col min="2" max="2" width="30.421875" style="724" customWidth="1"/>
    <col min="3" max="4" width="16.00390625" style="724" customWidth="1"/>
    <col min="5" max="5" width="10.57421875" style="724" customWidth="1"/>
    <col min="6" max="6" width="24.7109375" style="724" customWidth="1"/>
    <col min="7" max="7" width="10.7109375" style="724" customWidth="1"/>
    <col min="8" max="10" width="9.140625" style="724" customWidth="1"/>
    <col min="11" max="11" width="10.8515625" style="724" customWidth="1"/>
    <col min="12" max="16384" width="9.140625" style="724" customWidth="1"/>
  </cols>
  <sheetData>
    <row r="1" spans="1:7" ht="12.75">
      <c r="A1" s="81"/>
      <c r="B1" s="547" t="s">
        <v>402</v>
      </c>
      <c r="C1" s="81"/>
      <c r="D1" s="81"/>
      <c r="E1" s="81"/>
      <c r="F1" s="81"/>
      <c r="G1"/>
    </row>
    <row r="2" spans="1:7" ht="12.75">
      <c r="A2" s="81">
        <v>1</v>
      </c>
      <c r="B2" s="539" t="s">
        <v>569</v>
      </c>
      <c r="C2" s="81"/>
      <c r="D2" s="81"/>
      <c r="E2" s="81"/>
      <c r="F2" s="81"/>
      <c r="G2"/>
    </row>
    <row r="3" spans="1:7" ht="12.75">
      <c r="A3" s="548">
        <v>2</v>
      </c>
      <c r="B3" s="467" t="s">
        <v>243</v>
      </c>
      <c r="C3" s="467"/>
      <c r="D3" s="467"/>
      <c r="E3" s="467"/>
      <c r="F3" s="467"/>
      <c r="G3" s="23"/>
    </row>
    <row r="4" spans="1:7" s="759" customFormat="1" ht="12.75">
      <c r="A4" s="549">
        <v>3</v>
      </c>
      <c r="B4" s="495" t="s">
        <v>150</v>
      </c>
      <c r="C4" s="495"/>
      <c r="D4" s="495"/>
      <c r="E4" s="495"/>
      <c r="F4" s="495"/>
      <c r="G4" s="1"/>
    </row>
    <row r="5" spans="1:7" ht="12.75">
      <c r="A5" s="548">
        <v>4</v>
      </c>
      <c r="B5" s="468" t="s">
        <v>570</v>
      </c>
      <c r="C5" s="469"/>
      <c r="D5" s="469"/>
      <c r="E5" s="469"/>
      <c r="F5" s="469"/>
      <c r="G5" s="3"/>
    </row>
    <row r="6" spans="1:7" ht="12.75">
      <c r="A6" s="548">
        <v>5</v>
      </c>
      <c r="B6" s="83" t="s">
        <v>246</v>
      </c>
      <c r="C6" s="81"/>
      <c r="D6" s="81"/>
      <c r="E6" s="81"/>
      <c r="F6" s="81"/>
      <c r="G6"/>
    </row>
    <row r="7" spans="1:7" ht="12.75">
      <c r="A7" s="548">
        <v>6</v>
      </c>
      <c r="B7" s="710" t="s">
        <v>799</v>
      </c>
      <c r="C7" s="81"/>
      <c r="D7" s="81"/>
      <c r="E7" s="81"/>
      <c r="F7" s="81"/>
      <c r="G7"/>
    </row>
    <row r="8" spans="1:7" ht="12.75">
      <c r="A8" s="548">
        <v>7</v>
      </c>
      <c r="B8" s="518" t="s">
        <v>571</v>
      </c>
      <c r="C8" s="81"/>
      <c r="D8" s="81"/>
      <c r="E8" s="81"/>
      <c r="F8" s="81"/>
      <c r="G8"/>
    </row>
    <row r="9" spans="1:7" ht="15">
      <c r="A9" s="81"/>
      <c r="B9" s="550"/>
      <c r="C9" s="81"/>
      <c r="D9" s="81"/>
      <c r="E9" s="81"/>
      <c r="F9" s="81"/>
      <c r="G9"/>
    </row>
    <row r="10" spans="1:7" ht="12.75">
      <c r="A10" s="81"/>
      <c r="B10" s="81" t="s">
        <v>314</v>
      </c>
      <c r="C10" s="81" t="s">
        <v>315</v>
      </c>
      <c r="D10" s="81"/>
      <c r="E10" s="81"/>
      <c r="F10" s="81"/>
      <c r="G10"/>
    </row>
    <row r="11" spans="1:7" ht="12.75">
      <c r="A11" s="81"/>
      <c r="B11" s="81" t="s">
        <v>14</v>
      </c>
      <c r="C11" s="495">
        <v>2.34</v>
      </c>
      <c r="D11" s="81"/>
      <c r="E11" s="81"/>
      <c r="F11" s="81"/>
      <c r="G11"/>
    </row>
    <row r="12" spans="1:7" ht="12.75">
      <c r="A12" s="81"/>
      <c r="B12" s="81" t="s">
        <v>245</v>
      </c>
      <c r="C12" s="81">
        <v>24</v>
      </c>
      <c r="D12" s="81"/>
      <c r="E12" s="81"/>
      <c r="F12" s="81"/>
      <c r="G12"/>
    </row>
    <row r="13" spans="1:7" ht="13.5" thickBot="1">
      <c r="A13" s="81"/>
      <c r="B13" s="81" t="s">
        <v>244</v>
      </c>
      <c r="C13" s="551">
        <v>12</v>
      </c>
      <c r="D13" s="81"/>
      <c r="E13" s="81"/>
      <c r="F13" s="81"/>
      <c r="G13"/>
    </row>
    <row r="14" spans="1:7" ht="13.5" thickBot="1">
      <c r="A14" s="81"/>
      <c r="B14" s="81" t="s">
        <v>269</v>
      </c>
      <c r="C14" s="736"/>
      <c r="D14" s="81"/>
      <c r="E14" s="81"/>
      <c r="F14" s="81"/>
      <c r="G14"/>
    </row>
    <row r="15" spans="1:7" ht="12.75">
      <c r="A15" s="81"/>
      <c r="B15" s="81"/>
      <c r="C15" s="552"/>
      <c r="D15" s="81"/>
      <c r="E15" s="81"/>
      <c r="F15" s="81"/>
      <c r="G15"/>
    </row>
    <row r="16" spans="1:7" ht="12.75">
      <c r="A16" s="81"/>
      <c r="B16" s="81"/>
      <c r="C16" s="81" t="s">
        <v>316</v>
      </c>
      <c r="D16" s="469" t="s">
        <v>317</v>
      </c>
      <c r="E16" s="81"/>
      <c r="F16" s="469" t="s">
        <v>317</v>
      </c>
      <c r="G16"/>
    </row>
    <row r="17" spans="1:7" ht="12.75">
      <c r="A17" s="81"/>
      <c r="B17" s="81" t="s">
        <v>318</v>
      </c>
      <c r="C17" s="81" t="s">
        <v>319</v>
      </c>
      <c r="D17" s="469" t="s">
        <v>327</v>
      </c>
      <c r="E17" s="81"/>
      <c r="F17" s="469" t="s">
        <v>269</v>
      </c>
      <c r="G17"/>
    </row>
    <row r="18" spans="1:7" ht="12.75">
      <c r="A18" s="81"/>
      <c r="B18" s="81">
        <v>1</v>
      </c>
      <c r="C18" s="553">
        <v>0.05</v>
      </c>
      <c r="D18" s="554">
        <f>C18*$C$43</f>
        <v>0.015496688741721854</v>
      </c>
      <c r="E18" s="553"/>
      <c r="F18" s="554">
        <f>C18*$C$44</f>
        <v>0</v>
      </c>
      <c r="G18"/>
    </row>
    <row r="19" spans="1:7" ht="12.75">
      <c r="A19" s="81"/>
      <c r="B19" s="81">
        <v>2</v>
      </c>
      <c r="C19" s="553">
        <v>0.05</v>
      </c>
      <c r="D19" s="554">
        <f aca="true" t="shared" si="0" ref="D19:D41">C19*$C$43</f>
        <v>0.015496688741721854</v>
      </c>
      <c r="E19" s="553"/>
      <c r="F19" s="554">
        <f aca="true" t="shared" si="1" ref="F19:F41">C19*$C$44</f>
        <v>0</v>
      </c>
      <c r="G19"/>
    </row>
    <row r="20" spans="1:7" ht="12.75">
      <c r="A20" s="81"/>
      <c r="B20" s="81">
        <v>3</v>
      </c>
      <c r="C20" s="553">
        <v>0.05</v>
      </c>
      <c r="D20" s="554">
        <f t="shared" si="0"/>
        <v>0.015496688741721854</v>
      </c>
      <c r="E20" s="553"/>
      <c r="F20" s="554">
        <f t="shared" si="1"/>
        <v>0</v>
      </c>
      <c r="G20"/>
    </row>
    <row r="21" spans="1:7" ht="12.75">
      <c r="A21" s="81"/>
      <c r="B21" s="81">
        <v>4</v>
      </c>
      <c r="C21" s="553">
        <v>0.05</v>
      </c>
      <c r="D21" s="554">
        <f t="shared" si="0"/>
        <v>0.015496688741721854</v>
      </c>
      <c r="E21" s="553"/>
      <c r="F21" s="554">
        <f t="shared" si="1"/>
        <v>0</v>
      </c>
      <c r="G21"/>
    </row>
    <row r="22" spans="1:7" ht="12.75">
      <c r="A22" s="81"/>
      <c r="B22" s="81">
        <v>5</v>
      </c>
      <c r="C22" s="553">
        <v>0.05</v>
      </c>
      <c r="D22" s="554">
        <f t="shared" si="0"/>
        <v>0.015496688741721854</v>
      </c>
      <c r="E22" s="553"/>
      <c r="F22" s="554">
        <f t="shared" si="1"/>
        <v>0</v>
      </c>
      <c r="G22"/>
    </row>
    <row r="23" spans="1:7" ht="12.75">
      <c r="A23" s="81"/>
      <c r="B23" s="81">
        <v>6</v>
      </c>
      <c r="C23" s="553">
        <v>0.05</v>
      </c>
      <c r="D23" s="554">
        <f t="shared" si="0"/>
        <v>0.015496688741721854</v>
      </c>
      <c r="E23" s="553"/>
      <c r="F23" s="554">
        <f t="shared" si="1"/>
        <v>0</v>
      </c>
      <c r="G23"/>
    </row>
    <row r="24" spans="1:7" ht="12.75">
      <c r="A24" s="81"/>
      <c r="B24" s="81">
        <v>7</v>
      </c>
      <c r="C24" s="553">
        <v>0.25</v>
      </c>
      <c r="D24" s="554">
        <f t="shared" si="0"/>
        <v>0.07748344370860927</v>
      </c>
      <c r="E24" s="553"/>
      <c r="F24" s="554">
        <f t="shared" si="1"/>
        <v>0</v>
      </c>
      <c r="G24"/>
    </row>
    <row r="25" spans="1:7" ht="12.75">
      <c r="A25" s="81"/>
      <c r="B25" s="81">
        <v>8</v>
      </c>
      <c r="C25" s="553">
        <v>0.45</v>
      </c>
      <c r="D25" s="554">
        <f t="shared" si="0"/>
        <v>0.13947019867549668</v>
      </c>
      <c r="E25" s="553"/>
      <c r="F25" s="554">
        <f t="shared" si="1"/>
        <v>0</v>
      </c>
      <c r="G25"/>
    </row>
    <row r="26" spans="1:7" ht="12.75">
      <c r="A26" s="81"/>
      <c r="B26" s="81">
        <v>9</v>
      </c>
      <c r="C26" s="553">
        <v>0.45</v>
      </c>
      <c r="D26" s="554">
        <f t="shared" si="0"/>
        <v>0.13947019867549668</v>
      </c>
      <c r="E26" s="553"/>
      <c r="F26" s="554">
        <f t="shared" si="1"/>
        <v>0</v>
      </c>
      <c r="G26"/>
    </row>
    <row r="27" spans="1:7" ht="12.75">
      <c r="A27" s="81"/>
      <c r="B27" s="81">
        <v>10</v>
      </c>
      <c r="C27" s="553">
        <v>0.35</v>
      </c>
      <c r="D27" s="554">
        <f t="shared" si="0"/>
        <v>0.10847682119205297</v>
      </c>
      <c r="E27" s="553"/>
      <c r="F27" s="554">
        <f t="shared" si="1"/>
        <v>0</v>
      </c>
      <c r="G27"/>
    </row>
    <row r="28" spans="1:7" ht="12.75">
      <c r="A28" s="81"/>
      <c r="B28" s="81">
        <v>11</v>
      </c>
      <c r="C28" s="553">
        <v>0.35</v>
      </c>
      <c r="D28" s="554">
        <f t="shared" si="0"/>
        <v>0.10847682119205297</v>
      </c>
      <c r="E28" s="553"/>
      <c r="F28" s="554">
        <f t="shared" si="1"/>
        <v>0</v>
      </c>
      <c r="G28"/>
    </row>
    <row r="29" spans="1:7" ht="12.75">
      <c r="A29" s="81"/>
      <c r="B29" s="81">
        <v>12</v>
      </c>
      <c r="C29" s="553">
        <v>0.35</v>
      </c>
      <c r="D29" s="554">
        <f t="shared" si="0"/>
        <v>0.10847682119205297</v>
      </c>
      <c r="E29" s="553"/>
      <c r="F29" s="554">
        <f t="shared" si="1"/>
        <v>0</v>
      </c>
      <c r="G29"/>
    </row>
    <row r="30" spans="1:7" ht="12.75">
      <c r="A30" s="81"/>
      <c r="B30" s="81">
        <v>13</v>
      </c>
      <c r="C30" s="553">
        <v>0.25</v>
      </c>
      <c r="D30" s="554">
        <f t="shared" si="0"/>
        <v>0.07748344370860927</v>
      </c>
      <c r="E30" s="553"/>
      <c r="F30" s="554">
        <f t="shared" si="1"/>
        <v>0</v>
      </c>
      <c r="G30"/>
    </row>
    <row r="31" spans="1:7" ht="12.75">
      <c r="A31" s="81"/>
      <c r="B31" s="81">
        <v>14</v>
      </c>
      <c r="C31" s="553">
        <v>0.25</v>
      </c>
      <c r="D31" s="554">
        <f t="shared" si="0"/>
        <v>0.07748344370860927</v>
      </c>
      <c r="E31" s="553"/>
      <c r="F31" s="554">
        <f t="shared" si="1"/>
        <v>0</v>
      </c>
      <c r="G31"/>
    </row>
    <row r="32" spans="1:7" ht="12.75">
      <c r="A32" s="81"/>
      <c r="B32" s="81">
        <v>15</v>
      </c>
      <c r="C32" s="553">
        <v>0.25</v>
      </c>
      <c r="D32" s="554">
        <f t="shared" si="0"/>
        <v>0.07748344370860927</v>
      </c>
      <c r="E32" s="553"/>
      <c r="F32" s="554">
        <f t="shared" si="1"/>
        <v>0</v>
      </c>
      <c r="G32"/>
    </row>
    <row r="33" spans="1:7" ht="12.75">
      <c r="A33" s="81"/>
      <c r="B33" s="81">
        <v>16</v>
      </c>
      <c r="C33" s="553">
        <v>0.25</v>
      </c>
      <c r="D33" s="554">
        <f t="shared" si="0"/>
        <v>0.07748344370860927</v>
      </c>
      <c r="E33" s="553"/>
      <c r="F33" s="554">
        <f t="shared" si="1"/>
        <v>0</v>
      </c>
      <c r="G33"/>
    </row>
    <row r="34" spans="1:7" ht="12.75">
      <c r="A34" s="81"/>
      <c r="B34" s="81">
        <v>17</v>
      </c>
      <c r="C34" s="553">
        <v>0.25</v>
      </c>
      <c r="D34" s="554">
        <f t="shared" si="0"/>
        <v>0.07748344370860927</v>
      </c>
      <c r="E34" s="553"/>
      <c r="F34" s="554">
        <f t="shared" si="1"/>
        <v>0</v>
      </c>
      <c r="G34"/>
    </row>
    <row r="35" spans="1:7" ht="12.75">
      <c r="A35" s="81"/>
      <c r="B35" s="81">
        <v>18</v>
      </c>
      <c r="C35" s="553">
        <v>0.35</v>
      </c>
      <c r="D35" s="554">
        <f t="shared" si="0"/>
        <v>0.10847682119205297</v>
      </c>
      <c r="E35" s="553"/>
      <c r="F35" s="554">
        <f t="shared" si="1"/>
        <v>0</v>
      </c>
      <c r="G35"/>
    </row>
    <row r="36" spans="1:7" ht="12.75">
      <c r="A36" s="81"/>
      <c r="B36" s="81">
        <v>19</v>
      </c>
      <c r="C36" s="553">
        <v>0.7</v>
      </c>
      <c r="D36" s="554">
        <f t="shared" si="0"/>
        <v>0.21695364238410594</v>
      </c>
      <c r="E36" s="553"/>
      <c r="F36" s="554">
        <f t="shared" si="1"/>
        <v>0</v>
      </c>
      <c r="G36"/>
    </row>
    <row r="37" spans="1:7" ht="12.75">
      <c r="A37" s="81"/>
      <c r="B37" s="81">
        <v>20</v>
      </c>
      <c r="C37" s="553">
        <v>0.7</v>
      </c>
      <c r="D37" s="554">
        <f t="shared" si="0"/>
        <v>0.21695364238410594</v>
      </c>
      <c r="E37" s="553"/>
      <c r="F37" s="554">
        <f t="shared" si="1"/>
        <v>0</v>
      </c>
      <c r="G37"/>
    </row>
    <row r="38" spans="1:7" ht="12.75">
      <c r="A38" s="81"/>
      <c r="B38" s="81">
        <v>21</v>
      </c>
      <c r="C38" s="553">
        <v>0.7</v>
      </c>
      <c r="D38" s="554">
        <f t="shared" si="0"/>
        <v>0.21695364238410594</v>
      </c>
      <c r="E38" s="553"/>
      <c r="F38" s="554">
        <f t="shared" si="1"/>
        <v>0</v>
      </c>
      <c r="G38"/>
    </row>
    <row r="39" spans="1:7" ht="12.75">
      <c r="A39" s="81"/>
      <c r="B39" s="81">
        <v>22</v>
      </c>
      <c r="C39" s="553">
        <v>0.7</v>
      </c>
      <c r="D39" s="554">
        <f t="shared" si="0"/>
        <v>0.21695364238410594</v>
      </c>
      <c r="E39" s="553"/>
      <c r="F39" s="554">
        <f t="shared" si="1"/>
        <v>0</v>
      </c>
      <c r="G39"/>
    </row>
    <row r="40" spans="1:7" ht="12.75">
      <c r="A40" s="81"/>
      <c r="B40" s="81">
        <v>23</v>
      </c>
      <c r="C40" s="553">
        <v>0.6</v>
      </c>
      <c r="D40" s="554">
        <f t="shared" si="0"/>
        <v>0.18596026490066223</v>
      </c>
      <c r="E40" s="553"/>
      <c r="F40" s="554">
        <f t="shared" si="1"/>
        <v>0</v>
      </c>
      <c r="G40"/>
    </row>
    <row r="41" spans="1:7" ht="12.75">
      <c r="A41" s="81"/>
      <c r="B41" s="81">
        <v>24</v>
      </c>
      <c r="C41" s="553">
        <v>0.05</v>
      </c>
      <c r="D41" s="554">
        <f t="shared" si="0"/>
        <v>0.015496688741721854</v>
      </c>
      <c r="E41" s="553"/>
      <c r="F41" s="554">
        <f t="shared" si="1"/>
        <v>0</v>
      </c>
      <c r="G41"/>
    </row>
    <row r="42" spans="1:7" ht="12.75">
      <c r="A42" s="81"/>
      <c r="B42" s="81" t="s">
        <v>332</v>
      </c>
      <c r="C42" s="553">
        <f>SUM(C18:C41)</f>
        <v>7.55</v>
      </c>
      <c r="D42" s="553">
        <f>SUM(D18:D41)</f>
        <v>2.34</v>
      </c>
      <c r="E42" s="553"/>
      <c r="F42" s="553">
        <f>SUM(F18:F41)</f>
        <v>0</v>
      </c>
      <c r="G42"/>
    </row>
    <row r="43" spans="1:7" ht="12.75">
      <c r="A43" s="81"/>
      <c r="B43" s="81" t="s">
        <v>270</v>
      </c>
      <c r="C43" s="81">
        <f>C11/C42</f>
        <v>0.30993377483443707</v>
      </c>
      <c r="D43" s="81"/>
      <c r="E43" s="81"/>
      <c r="F43" s="81"/>
      <c r="G43"/>
    </row>
    <row r="44" spans="1:7" ht="12.75">
      <c r="A44" s="81"/>
      <c r="B44" s="81" t="s">
        <v>269</v>
      </c>
      <c r="C44" s="81">
        <f>C14/C42</f>
        <v>0</v>
      </c>
      <c r="D44" s="81"/>
      <c r="E44" s="81"/>
      <c r="F44" s="81"/>
      <c r="G44"/>
    </row>
  </sheetData>
  <sheetProtection sheet="1" objects="1" scenarios="1"/>
  <printOptions/>
  <pageMargins left="0.7" right="0.7" top="0.75" bottom="0.75" header="0.3" footer="0.3"/>
  <pageSetup horizontalDpi="300" verticalDpi="300" orientation="portrait" r:id="rId1"/>
</worksheet>
</file>

<file path=xl/worksheets/sheet11.xml><?xml version="1.0" encoding="utf-8"?>
<worksheet xmlns="http://schemas.openxmlformats.org/spreadsheetml/2006/main" xmlns:r="http://schemas.openxmlformats.org/officeDocument/2006/relationships">
  <sheetPr>
    <tabColor indexed="60"/>
  </sheetPr>
  <dimension ref="A1:Q71"/>
  <sheetViews>
    <sheetView zoomScalePageLayoutView="0" workbookViewId="0" topLeftCell="A1">
      <selection activeCell="F47" sqref="F47"/>
    </sheetView>
  </sheetViews>
  <sheetFormatPr defaultColWidth="9.140625" defaultRowHeight="12.75"/>
  <cols>
    <col min="1" max="1" width="2.00390625" style="724" bestFit="1" customWidth="1"/>
    <col min="2" max="2" width="18.7109375" style="724" customWidth="1"/>
    <col min="3" max="3" width="8.28125" style="724" customWidth="1"/>
    <col min="4" max="4" width="8.421875" style="724" customWidth="1"/>
    <col min="5" max="5" width="7.57421875" style="724" customWidth="1"/>
    <col min="6" max="6" width="9.28125" style="724" customWidth="1"/>
    <col min="7" max="7" width="12.140625" style="724" customWidth="1"/>
    <col min="8" max="8" width="9.140625" style="724" customWidth="1"/>
    <col min="9" max="9" width="12.8515625" style="724" customWidth="1"/>
    <col min="10" max="10" width="9.140625" style="724" customWidth="1"/>
    <col min="11" max="11" width="16.7109375" style="724" customWidth="1"/>
    <col min="12" max="12" width="9.140625" style="724" customWidth="1"/>
    <col min="13" max="13" width="11.140625" style="724" customWidth="1"/>
    <col min="14" max="16384" width="9.140625" style="724" customWidth="1"/>
  </cols>
  <sheetData>
    <row r="1" spans="1:12" ht="12.75">
      <c r="A1" s="81"/>
      <c r="B1" s="82" t="s">
        <v>247</v>
      </c>
      <c r="C1" s="81"/>
      <c r="D1" s="81"/>
      <c r="E1" s="81"/>
      <c r="F1" s="81"/>
      <c r="G1" s="81"/>
      <c r="H1" s="81"/>
      <c r="I1" s="81"/>
      <c r="J1" s="81"/>
      <c r="K1" s="81"/>
      <c r="L1"/>
    </row>
    <row r="2" spans="1:12" ht="12.75" customHeight="1">
      <c r="A2" s="548">
        <v>1</v>
      </c>
      <c r="B2" s="700" t="s">
        <v>788</v>
      </c>
      <c r="C2" s="696"/>
      <c r="D2" s="696"/>
      <c r="E2" s="696"/>
      <c r="F2" s="696"/>
      <c r="G2" s="696"/>
      <c r="H2" s="696"/>
      <c r="I2" s="696"/>
      <c r="J2" s="696"/>
      <c r="K2" s="105"/>
      <c r="L2" s="697"/>
    </row>
    <row r="3" spans="1:13" ht="41.25" customHeight="1">
      <c r="A3" s="548">
        <v>2</v>
      </c>
      <c r="B3" s="1241" t="s">
        <v>789</v>
      </c>
      <c r="C3" s="1241"/>
      <c r="D3" s="1241"/>
      <c r="E3" s="1241"/>
      <c r="F3" s="1241"/>
      <c r="G3" s="1241"/>
      <c r="H3" s="1241"/>
      <c r="I3" s="1241"/>
      <c r="J3" s="1241"/>
      <c r="K3" s="1241"/>
      <c r="L3" s="1241"/>
      <c r="M3" s="35"/>
    </row>
    <row r="4" spans="1:12" ht="26.25" customHeight="1">
      <c r="A4" s="548">
        <v>3</v>
      </c>
      <c r="B4" s="1242" t="s">
        <v>10</v>
      </c>
      <c r="C4" s="1243"/>
      <c r="D4" s="1243"/>
      <c r="E4" s="1243"/>
      <c r="F4" s="1243"/>
      <c r="G4" s="1243"/>
      <c r="H4" s="1243"/>
      <c r="I4" s="1243"/>
      <c r="J4" s="1243"/>
      <c r="K4" s="1243"/>
      <c r="L4" s="1243"/>
    </row>
    <row r="5" spans="1:12" ht="40.5" customHeight="1">
      <c r="A5" s="548">
        <v>4</v>
      </c>
      <c r="B5" s="1218" t="s">
        <v>644</v>
      </c>
      <c r="C5" s="1218"/>
      <c r="D5" s="1218"/>
      <c r="E5" s="1218"/>
      <c r="F5" s="1218"/>
      <c r="G5" s="1218"/>
      <c r="H5" s="1218"/>
      <c r="I5" s="1218"/>
      <c r="J5" s="1218"/>
      <c r="K5" s="1218"/>
      <c r="L5" s="1218"/>
    </row>
    <row r="6" spans="1:12" ht="12.75" customHeight="1">
      <c r="A6" s="548">
        <v>5</v>
      </c>
      <c r="B6" s="699" t="s">
        <v>713</v>
      </c>
      <c r="C6" s="699"/>
      <c r="D6" s="699"/>
      <c r="E6" s="699"/>
      <c r="F6" s="699"/>
      <c r="G6" s="699"/>
      <c r="H6" s="699"/>
      <c r="I6" s="699"/>
      <c r="J6" s="699"/>
      <c r="K6" s="699"/>
      <c r="L6" s="699"/>
    </row>
    <row r="7" spans="1:12" ht="12.75">
      <c r="A7" s="548">
        <v>6</v>
      </c>
      <c r="B7" s="467" t="s">
        <v>96</v>
      </c>
      <c r="C7" s="467"/>
      <c r="D7" s="467"/>
      <c r="E7" s="467"/>
      <c r="F7" s="495"/>
      <c r="G7" s="495"/>
      <c r="H7" s="81"/>
      <c r="I7" s="81"/>
      <c r="J7" s="81"/>
      <c r="K7" s="81"/>
      <c r="L7"/>
    </row>
    <row r="8" spans="1:12" s="759" customFormat="1" ht="12.75">
      <c r="A8" s="549">
        <v>7</v>
      </c>
      <c r="B8" s="495" t="s">
        <v>150</v>
      </c>
      <c r="C8" s="495"/>
      <c r="D8" s="495"/>
      <c r="E8" s="495"/>
      <c r="F8" s="495"/>
      <c r="G8" s="495"/>
      <c r="H8" s="495"/>
      <c r="I8" s="495"/>
      <c r="J8" s="495"/>
      <c r="K8" s="495"/>
      <c r="L8" s="1"/>
    </row>
    <row r="9" spans="1:12" ht="12.75">
      <c r="A9" s="548">
        <v>8</v>
      </c>
      <c r="B9" s="468" t="s">
        <v>572</v>
      </c>
      <c r="C9" s="469"/>
      <c r="D9" s="469"/>
      <c r="E9" s="469"/>
      <c r="F9" s="469"/>
      <c r="G9" s="469"/>
      <c r="H9" s="469"/>
      <c r="I9" s="469"/>
      <c r="J9" s="469"/>
      <c r="K9" s="469"/>
      <c r="L9"/>
    </row>
    <row r="10" spans="1:12" ht="12.75">
      <c r="A10" s="548"/>
      <c r="B10" s="495"/>
      <c r="C10" s="495"/>
      <c r="D10" s="495"/>
      <c r="E10" s="495"/>
      <c r="F10" s="495"/>
      <c r="G10" s="495"/>
      <c r="H10" s="81"/>
      <c r="I10" s="81"/>
      <c r="J10" s="81"/>
      <c r="K10" s="81"/>
      <c r="L10"/>
    </row>
    <row r="11" spans="1:12" ht="12.75">
      <c r="A11" s="81"/>
      <c r="B11" s="555" t="s">
        <v>282</v>
      </c>
      <c r="C11" s="81"/>
      <c r="D11" s="81"/>
      <c r="E11" s="81"/>
      <c r="F11" s="81"/>
      <c r="G11" s="81"/>
      <c r="H11" s="81"/>
      <c r="I11" s="81"/>
      <c r="J11" s="81"/>
      <c r="K11" s="81"/>
      <c r="L11"/>
    </row>
    <row r="12" spans="1:15" ht="64.5" customHeight="1" thickBot="1">
      <c r="A12" s="81"/>
      <c r="B12" s="556" t="s">
        <v>4</v>
      </c>
      <c r="C12" s="556" t="s">
        <v>283</v>
      </c>
      <c r="D12" s="556" t="s">
        <v>6</v>
      </c>
      <c r="E12" s="556" t="s">
        <v>3</v>
      </c>
      <c r="F12" s="556" t="s">
        <v>7</v>
      </c>
      <c r="G12" s="556" t="s">
        <v>8</v>
      </c>
      <c r="H12" s="556" t="s">
        <v>284</v>
      </c>
      <c r="I12" s="557" t="s">
        <v>285</v>
      </c>
      <c r="J12" s="557" t="s">
        <v>9</v>
      </c>
      <c r="K12" s="557" t="s">
        <v>712</v>
      </c>
      <c r="L12" s="558"/>
      <c r="M12" s="772"/>
      <c r="N12" s="763"/>
      <c r="O12" s="763"/>
    </row>
    <row r="13" spans="1:17" ht="13.5" thickBot="1">
      <c r="A13" s="81"/>
      <c r="B13" s="72"/>
      <c r="C13" s="573"/>
      <c r="D13" s="573"/>
      <c r="E13" s="573"/>
      <c r="F13" s="162">
        <f>IF(E13="",0,LOOKUP('In-Unit Lighting'!E13,'Interior Lighting'!$I$2:$I$24,'Interior Lighting'!$J$2:$J$24))</f>
        <v>0</v>
      </c>
      <c r="G13" s="162">
        <f>IF(E13="",0,LOOKUP('In-Unit Lighting'!E13,'Interior Lighting'!$I$2:$I$24,'Interior Lighting'!$K$2:$K$24))</f>
        <v>0</v>
      </c>
      <c r="H13" s="573"/>
      <c r="I13" s="559">
        <f aca="true" t="shared" si="0" ref="I13:I41">C13*H13</f>
        <v>0</v>
      </c>
      <c r="J13" s="560">
        <f>D13*F13*H13</f>
        <v>0</v>
      </c>
      <c r="K13" s="561" t="str">
        <f>IF(G13&gt;0,D13*G13/C13,"0.0")</f>
        <v>0.0</v>
      </c>
      <c r="L13" s="466">
        <f>IF(C13&gt;0,IF(D13*F13/C13&lt;0.5," Lighting power density is less than 0.5 W/SF. Confirm that instructions 2-4 above have been followed.",""),"")</f>
      </c>
      <c r="M13" s="764"/>
      <c r="N13" s="764"/>
      <c r="O13" s="765"/>
      <c r="Q13" s="766"/>
    </row>
    <row r="14" spans="1:17" ht="13.5" thickBot="1">
      <c r="A14" s="81"/>
      <c r="B14" s="72"/>
      <c r="C14" s="573"/>
      <c r="D14" s="573"/>
      <c r="E14" s="695"/>
      <c r="F14" s="162">
        <f>IF(E14="",0,LOOKUP('In-Unit Lighting'!E14,'Interior Lighting'!$I$2:$I$24,'Interior Lighting'!$J$2:$J$24))</f>
        <v>0</v>
      </c>
      <c r="G14" s="162">
        <f>IF(E14="",0,LOOKUP('In-Unit Lighting'!E14,'Interior Lighting'!$I$2:$I$24,'Interior Lighting'!$K$2:$K$24))</f>
        <v>0</v>
      </c>
      <c r="H14" s="573"/>
      <c r="I14" s="559">
        <f t="shared" si="0"/>
        <v>0</v>
      </c>
      <c r="J14" s="560">
        <f>D14*F14*H14</f>
        <v>0</v>
      </c>
      <c r="K14" s="561" t="str">
        <f>IF(G14&gt;0,D14*G14/C14,"0.0")</f>
        <v>0.0</v>
      </c>
      <c r="L14" s="466">
        <f aca="true" t="shared" si="1" ref="L14:L41">IF(C14&gt;0,IF(D14*F14/C14&lt;0.5," Lighting power density is less than 0.5 W/SF. Confirm that instructions 2-4 above have been followed.",""),"")</f>
      </c>
      <c r="M14" s="764"/>
      <c r="N14" s="764"/>
      <c r="O14" s="765"/>
      <c r="Q14" s="766"/>
    </row>
    <row r="15" spans="1:17" ht="13.5" thickBot="1">
      <c r="A15" s="81"/>
      <c r="B15" s="72"/>
      <c r="C15" s="573"/>
      <c r="D15" s="573"/>
      <c r="E15" s="695"/>
      <c r="F15" s="162">
        <f>IF(E15="",0,LOOKUP('In-Unit Lighting'!E15,'Interior Lighting'!$I$2:$I$24,'Interior Lighting'!$J$2:$J$24))</f>
        <v>0</v>
      </c>
      <c r="G15" s="162">
        <f>IF(E15="",0,LOOKUP('In-Unit Lighting'!E15,'Interior Lighting'!$I$2:$I$24,'Interior Lighting'!$K$2:$K$24))</f>
        <v>0</v>
      </c>
      <c r="H15" s="573"/>
      <c r="I15" s="559">
        <f t="shared" si="0"/>
        <v>0</v>
      </c>
      <c r="J15" s="560">
        <f>D15*F15*H15</f>
        <v>0</v>
      </c>
      <c r="K15" s="561" t="str">
        <f aca="true" t="shared" si="2" ref="K15:K41">IF(G15&gt;0,D15*G15/C15,"0.0")</f>
        <v>0.0</v>
      </c>
      <c r="L15" s="466">
        <f t="shared" si="1"/>
      </c>
      <c r="M15" s="764"/>
      <c r="N15" s="764"/>
      <c r="O15" s="765"/>
      <c r="Q15" s="766"/>
    </row>
    <row r="16" spans="1:17" ht="13.5" thickBot="1">
      <c r="A16" s="81"/>
      <c r="B16" s="72"/>
      <c r="C16" s="573"/>
      <c r="D16" s="573"/>
      <c r="E16" s="695"/>
      <c r="F16" s="162">
        <f>IF(E16="",0,LOOKUP('In-Unit Lighting'!E16,'Interior Lighting'!$I$2:$I$24,'Interior Lighting'!$J$2:$J$24))</f>
        <v>0</v>
      </c>
      <c r="G16" s="162">
        <f>IF(E16="",0,LOOKUP('In-Unit Lighting'!E16,'Interior Lighting'!$I$2:$I$24,'Interior Lighting'!$K$2:$K$24))</f>
        <v>0</v>
      </c>
      <c r="H16" s="695"/>
      <c r="I16" s="559">
        <f t="shared" si="0"/>
        <v>0</v>
      </c>
      <c r="J16" s="560">
        <f aca="true" t="shared" si="3" ref="J16:J41">D16*F16*H16</f>
        <v>0</v>
      </c>
      <c r="K16" s="561" t="str">
        <f t="shared" si="2"/>
        <v>0.0</v>
      </c>
      <c r="L16" s="466">
        <f t="shared" si="1"/>
      </c>
      <c r="M16" s="764"/>
      <c r="N16" s="764"/>
      <c r="O16" s="765"/>
      <c r="Q16" s="766"/>
    </row>
    <row r="17" spans="1:17" ht="13.5" thickBot="1">
      <c r="A17" s="81"/>
      <c r="B17" s="72"/>
      <c r="C17" s="573"/>
      <c r="D17" s="573"/>
      <c r="E17" s="695"/>
      <c r="F17" s="162">
        <f>IF(E17="",0,LOOKUP('In-Unit Lighting'!E17,'Interior Lighting'!$I$2:$I$24,'Interior Lighting'!$J$2:$J$24))</f>
        <v>0</v>
      </c>
      <c r="G17" s="162">
        <f>IF(E17="",0,LOOKUP('In-Unit Lighting'!E17,'Interior Lighting'!$I$2:$I$24,'Interior Lighting'!$K$2:$K$24))</f>
        <v>0</v>
      </c>
      <c r="H17" s="573"/>
      <c r="I17" s="559">
        <f t="shared" si="0"/>
        <v>0</v>
      </c>
      <c r="J17" s="560">
        <f t="shared" si="3"/>
        <v>0</v>
      </c>
      <c r="K17" s="561" t="str">
        <f t="shared" si="2"/>
        <v>0.0</v>
      </c>
      <c r="L17" s="466">
        <f t="shared" si="1"/>
      </c>
      <c r="M17" s="764"/>
      <c r="N17" s="764"/>
      <c r="O17" s="765"/>
      <c r="Q17" s="766"/>
    </row>
    <row r="18" spans="1:17" ht="13.5" thickBot="1">
      <c r="A18" s="81"/>
      <c r="B18" s="72"/>
      <c r="C18" s="573"/>
      <c r="D18" s="573"/>
      <c r="E18" s="573"/>
      <c r="F18" s="162">
        <f>IF(E18="",0,LOOKUP('In-Unit Lighting'!E18,'Interior Lighting'!$I$2:$I$24,'Interior Lighting'!$J$2:$J$24))</f>
        <v>0</v>
      </c>
      <c r="G18" s="162">
        <f>IF(E18="",0,LOOKUP('In-Unit Lighting'!E18,'Interior Lighting'!$I$2:$I$24,'Interior Lighting'!$K$2:$K$24))</f>
        <v>0</v>
      </c>
      <c r="H18" s="573"/>
      <c r="I18" s="559">
        <f t="shared" si="0"/>
        <v>0</v>
      </c>
      <c r="J18" s="560">
        <f t="shared" si="3"/>
        <v>0</v>
      </c>
      <c r="K18" s="561" t="str">
        <f t="shared" si="2"/>
        <v>0.0</v>
      </c>
      <c r="L18" s="466">
        <f t="shared" si="1"/>
      </c>
      <c r="M18" s="773"/>
      <c r="N18" s="773"/>
      <c r="O18" s="765"/>
      <c r="Q18" s="766"/>
    </row>
    <row r="19" spans="1:15" ht="13.5" thickBot="1">
      <c r="A19" s="81"/>
      <c r="B19" s="72"/>
      <c r="C19" s="573"/>
      <c r="D19" s="573"/>
      <c r="E19" s="573"/>
      <c r="F19" s="162">
        <f>IF(E19="",0,LOOKUP('In-Unit Lighting'!E19,'Interior Lighting'!$I$2:$I$24,'Interior Lighting'!$J$2:$J$24))</f>
        <v>0</v>
      </c>
      <c r="G19" s="162">
        <f>IF(E19="",0,LOOKUP('In-Unit Lighting'!E19,'Interior Lighting'!$I$2:$I$24,'Interior Lighting'!$K$2:$K$24))</f>
        <v>0</v>
      </c>
      <c r="H19" s="573"/>
      <c r="I19" s="559">
        <f t="shared" si="0"/>
        <v>0</v>
      </c>
      <c r="J19" s="560">
        <f t="shared" si="3"/>
        <v>0</v>
      </c>
      <c r="K19" s="561" t="str">
        <f t="shared" si="2"/>
        <v>0.0</v>
      </c>
      <c r="L19" s="466">
        <f t="shared" si="1"/>
      </c>
      <c r="O19" s="767"/>
    </row>
    <row r="20" spans="1:12" ht="13.5" thickBot="1">
      <c r="A20" s="81"/>
      <c r="B20" s="72"/>
      <c r="C20" s="573"/>
      <c r="D20" s="573"/>
      <c r="E20" s="573"/>
      <c r="F20" s="162">
        <f>IF(E20="",0,LOOKUP('In-Unit Lighting'!E20,'Interior Lighting'!$I$2:$I$24,'Interior Lighting'!$J$2:$J$24))</f>
        <v>0</v>
      </c>
      <c r="G20" s="162">
        <f>IF(E20="",0,LOOKUP('In-Unit Lighting'!E20,'Interior Lighting'!$I$2:$I$24,'Interior Lighting'!$K$2:$K$24))</f>
        <v>0</v>
      </c>
      <c r="H20" s="573"/>
      <c r="I20" s="559">
        <f t="shared" si="0"/>
        <v>0</v>
      </c>
      <c r="J20" s="560">
        <f t="shared" si="3"/>
        <v>0</v>
      </c>
      <c r="K20" s="561" t="str">
        <f t="shared" si="2"/>
        <v>0.0</v>
      </c>
      <c r="L20" s="466">
        <f t="shared" si="1"/>
      </c>
    </row>
    <row r="21" spans="1:14" ht="13.5" thickBot="1">
      <c r="A21" s="81"/>
      <c r="B21" s="72"/>
      <c r="C21" s="573"/>
      <c r="D21" s="573"/>
      <c r="E21" s="573"/>
      <c r="F21" s="162">
        <f>IF(E21="",0,LOOKUP('In-Unit Lighting'!E21,'Interior Lighting'!$I$2:$I$24,'Interior Lighting'!$J$2:$J$24))</f>
        <v>0</v>
      </c>
      <c r="G21" s="162">
        <f>IF(E21="",0,LOOKUP('In-Unit Lighting'!E21,'Interior Lighting'!$I$2:$I$24,'Interior Lighting'!$K$2:$K$24))</f>
        <v>0</v>
      </c>
      <c r="H21" s="573"/>
      <c r="I21" s="559">
        <f t="shared" si="0"/>
        <v>0</v>
      </c>
      <c r="J21" s="560">
        <f t="shared" si="3"/>
        <v>0</v>
      </c>
      <c r="K21" s="561" t="str">
        <f t="shared" si="2"/>
        <v>0.0</v>
      </c>
      <c r="L21" s="466">
        <f t="shared" si="1"/>
      </c>
      <c r="N21" s="768"/>
    </row>
    <row r="22" spans="1:12" ht="13.5" thickBot="1">
      <c r="A22" s="81"/>
      <c r="B22" s="72"/>
      <c r="C22" s="573"/>
      <c r="D22" s="573"/>
      <c r="E22" s="573"/>
      <c r="F22" s="162">
        <f>IF(E22="",0,LOOKUP('In-Unit Lighting'!E22,'Interior Lighting'!$I$2:$I$24,'Interior Lighting'!$J$2:$J$24))</f>
        <v>0</v>
      </c>
      <c r="G22" s="162">
        <f>IF(E22="",0,LOOKUP('In-Unit Lighting'!E22,'Interior Lighting'!$I$2:$I$24,'Interior Lighting'!$K$2:$K$24))</f>
        <v>0</v>
      </c>
      <c r="H22" s="573"/>
      <c r="I22" s="559">
        <f t="shared" si="0"/>
        <v>0</v>
      </c>
      <c r="J22" s="560">
        <f t="shared" si="3"/>
        <v>0</v>
      </c>
      <c r="K22" s="561" t="str">
        <f t="shared" si="2"/>
        <v>0.0</v>
      </c>
      <c r="L22" s="466">
        <f t="shared" si="1"/>
      </c>
    </row>
    <row r="23" spans="1:12" ht="13.5" thickBot="1">
      <c r="A23" s="81"/>
      <c r="B23" s="72"/>
      <c r="C23" s="573"/>
      <c r="D23" s="573"/>
      <c r="E23" s="573"/>
      <c r="F23" s="162">
        <f>IF(E23="",0,LOOKUP('In-Unit Lighting'!E23,'Interior Lighting'!$I$2:$I$24,'Interior Lighting'!$J$2:$J$24))</f>
        <v>0</v>
      </c>
      <c r="G23" s="162">
        <f>IF(E23="",0,LOOKUP('In-Unit Lighting'!E23,'Interior Lighting'!$I$2:$I$24,'Interior Lighting'!$K$2:$K$24))</f>
        <v>0</v>
      </c>
      <c r="H23" s="573"/>
      <c r="I23" s="559">
        <f t="shared" si="0"/>
        <v>0</v>
      </c>
      <c r="J23" s="560">
        <f t="shared" si="3"/>
        <v>0</v>
      </c>
      <c r="K23" s="561" t="str">
        <f t="shared" si="2"/>
        <v>0.0</v>
      </c>
      <c r="L23" s="466">
        <f t="shared" si="1"/>
      </c>
    </row>
    <row r="24" spans="1:12" ht="13.5" thickBot="1">
      <c r="A24" s="81"/>
      <c r="B24" s="72"/>
      <c r="C24" s="573"/>
      <c r="D24" s="573"/>
      <c r="E24" s="573"/>
      <c r="F24" s="162">
        <f>IF(E24="",0,LOOKUP('In-Unit Lighting'!E24,'Interior Lighting'!$I$2:$I$24,'Interior Lighting'!$J$2:$J$24))</f>
        <v>0</v>
      </c>
      <c r="G24" s="162">
        <f>IF(E24="",0,LOOKUP('In-Unit Lighting'!E24,'Interior Lighting'!$I$2:$I$24,'Interior Lighting'!$K$2:$K$24))</f>
        <v>0</v>
      </c>
      <c r="H24" s="573"/>
      <c r="I24" s="559">
        <f t="shared" si="0"/>
        <v>0</v>
      </c>
      <c r="J24" s="560">
        <f t="shared" si="3"/>
        <v>0</v>
      </c>
      <c r="K24" s="561" t="str">
        <f t="shared" si="2"/>
        <v>0.0</v>
      </c>
      <c r="L24" s="466">
        <f t="shared" si="1"/>
      </c>
    </row>
    <row r="25" spans="1:12" ht="13.5" thickBot="1">
      <c r="A25" s="81"/>
      <c r="B25" s="72"/>
      <c r="C25" s="573"/>
      <c r="D25" s="573"/>
      <c r="E25" s="573"/>
      <c r="F25" s="162">
        <f>IF(E25="",0,LOOKUP('In-Unit Lighting'!E25,'Interior Lighting'!$I$2:$I$24,'Interior Lighting'!$J$2:$J$24))</f>
        <v>0</v>
      </c>
      <c r="G25" s="162">
        <f>IF(E25="",0,LOOKUP('In-Unit Lighting'!E25,'Interior Lighting'!$I$2:$I$24,'Interior Lighting'!$K$2:$K$24))</f>
        <v>0</v>
      </c>
      <c r="H25" s="573"/>
      <c r="I25" s="559">
        <f t="shared" si="0"/>
        <v>0</v>
      </c>
      <c r="J25" s="560">
        <f t="shared" si="3"/>
        <v>0</v>
      </c>
      <c r="K25" s="561" t="str">
        <f t="shared" si="2"/>
        <v>0.0</v>
      </c>
      <c r="L25" s="466">
        <f t="shared" si="1"/>
      </c>
    </row>
    <row r="26" spans="1:12" ht="13.5" thickBot="1">
      <c r="A26" s="81"/>
      <c r="B26" s="72"/>
      <c r="C26" s="573"/>
      <c r="D26" s="573"/>
      <c r="E26" s="573"/>
      <c r="F26" s="162">
        <f>IF(E26="",0,LOOKUP('In-Unit Lighting'!E26,'Interior Lighting'!$I$2:$I$24,'Interior Lighting'!$J$2:$J$24))</f>
        <v>0</v>
      </c>
      <c r="G26" s="162">
        <f>IF(E26="",0,LOOKUP('In-Unit Lighting'!E26,'Interior Lighting'!$I$2:$I$24,'Interior Lighting'!$K$2:$K$24))</f>
        <v>0</v>
      </c>
      <c r="H26" s="573"/>
      <c r="I26" s="559">
        <f t="shared" si="0"/>
        <v>0</v>
      </c>
      <c r="J26" s="560">
        <f t="shared" si="3"/>
        <v>0</v>
      </c>
      <c r="K26" s="561" t="str">
        <f t="shared" si="2"/>
        <v>0.0</v>
      </c>
      <c r="L26" s="466">
        <f t="shared" si="1"/>
      </c>
    </row>
    <row r="27" spans="1:12" ht="13.5" thickBot="1">
      <c r="A27" s="81"/>
      <c r="B27" s="72"/>
      <c r="C27" s="573"/>
      <c r="D27" s="573"/>
      <c r="E27" s="573"/>
      <c r="F27" s="162">
        <f>IF(E27="",0,LOOKUP('In-Unit Lighting'!E27,'Interior Lighting'!$I$2:$I$24,'Interior Lighting'!$J$2:$J$24))</f>
        <v>0</v>
      </c>
      <c r="G27" s="162">
        <f>IF(E27="",0,LOOKUP('In-Unit Lighting'!E27,'Interior Lighting'!$I$2:$I$24,'Interior Lighting'!$K$2:$K$24))</f>
        <v>0</v>
      </c>
      <c r="H27" s="573"/>
      <c r="I27" s="559">
        <f t="shared" si="0"/>
        <v>0</v>
      </c>
      <c r="J27" s="560">
        <f t="shared" si="3"/>
        <v>0</v>
      </c>
      <c r="K27" s="561" t="str">
        <f t="shared" si="2"/>
        <v>0.0</v>
      </c>
      <c r="L27" s="466">
        <f t="shared" si="1"/>
      </c>
    </row>
    <row r="28" spans="1:12" ht="13.5" thickBot="1">
      <c r="A28" s="81"/>
      <c r="B28" s="72"/>
      <c r="C28" s="573"/>
      <c r="D28" s="573"/>
      <c r="E28" s="573"/>
      <c r="F28" s="162">
        <f>IF(E28="",0,LOOKUP('In-Unit Lighting'!E28,'Interior Lighting'!$I$2:$I$24,'Interior Lighting'!$J$2:$J$24))</f>
        <v>0</v>
      </c>
      <c r="G28" s="162">
        <f>IF(E28="",0,LOOKUP('In-Unit Lighting'!E28,'Interior Lighting'!$I$2:$I$24,'Interior Lighting'!$K$2:$K$24))</f>
        <v>0</v>
      </c>
      <c r="H28" s="573"/>
      <c r="I28" s="559">
        <f t="shared" si="0"/>
        <v>0</v>
      </c>
      <c r="J28" s="560">
        <f t="shared" si="3"/>
        <v>0</v>
      </c>
      <c r="K28" s="561" t="str">
        <f t="shared" si="2"/>
        <v>0.0</v>
      </c>
      <c r="L28" s="466">
        <f t="shared" si="1"/>
      </c>
    </row>
    <row r="29" spans="1:12" ht="13.5" thickBot="1">
      <c r="A29" s="81"/>
      <c r="B29" s="72"/>
      <c r="C29" s="573"/>
      <c r="D29" s="573"/>
      <c r="E29" s="573"/>
      <c r="F29" s="162">
        <f>IF(E29="",0,LOOKUP('In-Unit Lighting'!E29,'Interior Lighting'!$I$2:$I$24,'Interior Lighting'!$J$2:$J$24))</f>
        <v>0</v>
      </c>
      <c r="G29" s="162">
        <f>IF(E29="",0,LOOKUP('In-Unit Lighting'!E29,'Interior Lighting'!$I$2:$I$24,'Interior Lighting'!$K$2:$K$24))</f>
        <v>0</v>
      </c>
      <c r="H29" s="573"/>
      <c r="I29" s="559">
        <f t="shared" si="0"/>
        <v>0</v>
      </c>
      <c r="J29" s="560">
        <f t="shared" si="3"/>
        <v>0</v>
      </c>
      <c r="K29" s="561" t="str">
        <f t="shared" si="2"/>
        <v>0.0</v>
      </c>
      <c r="L29" s="466">
        <f t="shared" si="1"/>
      </c>
    </row>
    <row r="30" spans="1:12" ht="13.5" thickBot="1">
      <c r="A30" s="81"/>
      <c r="B30" s="72"/>
      <c r="C30" s="573"/>
      <c r="D30" s="573"/>
      <c r="E30" s="573"/>
      <c r="F30" s="162">
        <f>IF(E30="",0,LOOKUP('In-Unit Lighting'!E30,'Interior Lighting'!$I$2:$I$24,'Interior Lighting'!$J$2:$J$24))</f>
        <v>0</v>
      </c>
      <c r="G30" s="162">
        <f>IF(E30="",0,LOOKUP('In-Unit Lighting'!E30,'Interior Lighting'!$I$2:$I$24,'Interior Lighting'!$K$2:$K$24))</f>
        <v>0</v>
      </c>
      <c r="H30" s="573"/>
      <c r="I30" s="559">
        <f t="shared" si="0"/>
        <v>0</v>
      </c>
      <c r="J30" s="560">
        <f t="shared" si="3"/>
        <v>0</v>
      </c>
      <c r="K30" s="561" t="str">
        <f t="shared" si="2"/>
        <v>0.0</v>
      </c>
      <c r="L30" s="466">
        <f t="shared" si="1"/>
      </c>
    </row>
    <row r="31" spans="1:12" ht="13.5" thickBot="1">
      <c r="A31" s="81"/>
      <c r="B31" s="72"/>
      <c r="C31" s="573"/>
      <c r="D31" s="573"/>
      <c r="E31" s="573"/>
      <c r="F31" s="162">
        <f>IF(E31="",0,LOOKUP('In-Unit Lighting'!E31,'Interior Lighting'!$I$2:$I$24,'Interior Lighting'!$J$2:$J$24))</f>
        <v>0</v>
      </c>
      <c r="G31" s="162">
        <f>IF(E31="",0,LOOKUP('In-Unit Lighting'!E31,'Interior Lighting'!$I$2:$I$24,'Interior Lighting'!$K$2:$K$24))</f>
        <v>0</v>
      </c>
      <c r="H31" s="573"/>
      <c r="I31" s="559">
        <f t="shared" si="0"/>
        <v>0</v>
      </c>
      <c r="J31" s="560">
        <f t="shared" si="3"/>
        <v>0</v>
      </c>
      <c r="K31" s="561" t="str">
        <f t="shared" si="2"/>
        <v>0.0</v>
      </c>
      <c r="L31" s="466">
        <f t="shared" si="1"/>
      </c>
    </row>
    <row r="32" spans="1:12" ht="13.5" thickBot="1">
      <c r="A32" s="81"/>
      <c r="B32" s="72"/>
      <c r="C32" s="573"/>
      <c r="D32" s="573"/>
      <c r="E32" s="573"/>
      <c r="F32" s="162">
        <f>IF(E32="",0,LOOKUP('In-Unit Lighting'!E32,'Interior Lighting'!$I$2:$I$24,'Interior Lighting'!$J$2:$J$24))</f>
        <v>0</v>
      </c>
      <c r="G32" s="162">
        <f>IF(E32="",0,LOOKUP('In-Unit Lighting'!E32,'Interior Lighting'!$I$2:$I$24,'Interior Lighting'!$K$2:$K$24))</f>
        <v>0</v>
      </c>
      <c r="H32" s="573"/>
      <c r="I32" s="559">
        <f t="shared" si="0"/>
        <v>0</v>
      </c>
      <c r="J32" s="560">
        <f t="shared" si="3"/>
        <v>0</v>
      </c>
      <c r="K32" s="561" t="str">
        <f t="shared" si="2"/>
        <v>0.0</v>
      </c>
      <c r="L32" s="466">
        <f t="shared" si="1"/>
      </c>
    </row>
    <row r="33" spans="1:17" ht="13.5" thickBot="1">
      <c r="A33" s="81"/>
      <c r="B33" s="72"/>
      <c r="C33" s="573"/>
      <c r="D33" s="573"/>
      <c r="E33" s="573"/>
      <c r="F33" s="162">
        <f>IF(E33="",0,LOOKUP('In-Unit Lighting'!E33,'Interior Lighting'!$I$2:$I$24,'Interior Lighting'!$J$2:$J$24))</f>
        <v>0</v>
      </c>
      <c r="G33" s="162">
        <f>IF(E33="",0,LOOKUP('In-Unit Lighting'!E33,'Interior Lighting'!$I$2:$I$24,'Interior Lighting'!$K$2:$K$24))</f>
        <v>0</v>
      </c>
      <c r="H33" s="573"/>
      <c r="I33" s="559">
        <f t="shared" si="0"/>
        <v>0</v>
      </c>
      <c r="J33" s="560">
        <f t="shared" si="3"/>
        <v>0</v>
      </c>
      <c r="K33" s="561" t="str">
        <f t="shared" si="2"/>
        <v>0.0</v>
      </c>
      <c r="L33" s="466">
        <f t="shared" si="1"/>
      </c>
      <c r="O33" s="769"/>
      <c r="P33" s="769"/>
      <c r="Q33" s="769"/>
    </row>
    <row r="34" spans="1:12" ht="13.5" thickBot="1">
      <c r="A34" s="81"/>
      <c r="B34" s="72"/>
      <c r="C34" s="573"/>
      <c r="D34" s="573"/>
      <c r="E34" s="573"/>
      <c r="F34" s="162">
        <f>IF(E34="",0,LOOKUP('In-Unit Lighting'!E34,'Interior Lighting'!$I$2:$I$24,'Interior Lighting'!$J$2:$J$24))</f>
        <v>0</v>
      </c>
      <c r="G34" s="162">
        <f>IF(E34="",0,LOOKUP('In-Unit Lighting'!E34,'Interior Lighting'!$I$2:$I$24,'Interior Lighting'!$K$2:$K$24))</f>
        <v>0</v>
      </c>
      <c r="H34" s="573"/>
      <c r="I34" s="559">
        <f t="shared" si="0"/>
        <v>0</v>
      </c>
      <c r="J34" s="560">
        <f t="shared" si="3"/>
        <v>0</v>
      </c>
      <c r="K34" s="561" t="str">
        <f t="shared" si="2"/>
        <v>0.0</v>
      </c>
      <c r="L34" s="466">
        <f t="shared" si="1"/>
      </c>
    </row>
    <row r="35" spans="1:12" ht="13.5" thickBot="1">
      <c r="A35" s="81"/>
      <c r="B35" s="72"/>
      <c r="C35" s="573"/>
      <c r="D35" s="573"/>
      <c r="E35" s="573"/>
      <c r="F35" s="162">
        <f>IF(E35="",0,LOOKUP('In-Unit Lighting'!E35,'Interior Lighting'!$I$2:$I$24,'Interior Lighting'!$J$2:$J$24))</f>
        <v>0</v>
      </c>
      <c r="G35" s="162">
        <f>IF(E35="",0,LOOKUP('In-Unit Lighting'!E35,'Interior Lighting'!$I$2:$I$24,'Interior Lighting'!$K$2:$K$24))</f>
        <v>0</v>
      </c>
      <c r="H35" s="573"/>
      <c r="I35" s="559">
        <f t="shared" si="0"/>
        <v>0</v>
      </c>
      <c r="J35" s="560">
        <f t="shared" si="3"/>
        <v>0</v>
      </c>
      <c r="K35" s="561" t="str">
        <f t="shared" si="2"/>
        <v>0.0</v>
      </c>
      <c r="L35" s="466">
        <f t="shared" si="1"/>
      </c>
    </row>
    <row r="36" spans="1:12" ht="13.5" thickBot="1">
      <c r="A36" s="81"/>
      <c r="B36" s="72"/>
      <c r="C36" s="573"/>
      <c r="D36" s="573"/>
      <c r="E36" s="573"/>
      <c r="F36" s="162">
        <f>IF(E36="",0,LOOKUP('In-Unit Lighting'!E36,'Interior Lighting'!$I$2:$I$24,'Interior Lighting'!$J$2:$J$24))</f>
        <v>0</v>
      </c>
      <c r="G36" s="162">
        <f>IF(E36="",0,LOOKUP('In-Unit Lighting'!E36,'Interior Lighting'!$I$2:$I$24,'Interior Lighting'!$K$2:$K$24))</f>
        <v>0</v>
      </c>
      <c r="H36" s="573"/>
      <c r="I36" s="559">
        <f t="shared" si="0"/>
        <v>0</v>
      </c>
      <c r="J36" s="560">
        <f t="shared" si="3"/>
        <v>0</v>
      </c>
      <c r="K36" s="561" t="str">
        <f t="shared" si="2"/>
        <v>0.0</v>
      </c>
      <c r="L36" s="466">
        <f t="shared" si="1"/>
      </c>
    </row>
    <row r="37" spans="1:12" ht="13.5" thickBot="1">
      <c r="A37" s="81"/>
      <c r="B37" s="72"/>
      <c r="C37" s="573"/>
      <c r="D37" s="573"/>
      <c r="E37" s="573"/>
      <c r="F37" s="162">
        <f>IF(E37="",0,LOOKUP('In-Unit Lighting'!E37,'Interior Lighting'!$I$2:$I$24,'Interior Lighting'!$J$2:$J$24))</f>
        <v>0</v>
      </c>
      <c r="G37" s="162">
        <f>IF(E37="",0,LOOKUP('In-Unit Lighting'!E37,'Interior Lighting'!$I$2:$I$24,'Interior Lighting'!$K$2:$K$24))</f>
        <v>0</v>
      </c>
      <c r="H37" s="573"/>
      <c r="I37" s="559">
        <f t="shared" si="0"/>
        <v>0</v>
      </c>
      <c r="J37" s="560">
        <f t="shared" si="3"/>
        <v>0</v>
      </c>
      <c r="K37" s="561" t="str">
        <f t="shared" si="2"/>
        <v>0.0</v>
      </c>
      <c r="L37" s="466">
        <f t="shared" si="1"/>
      </c>
    </row>
    <row r="38" spans="1:12" ht="13.5" thickBot="1">
      <c r="A38" s="81"/>
      <c r="B38" s="72"/>
      <c r="C38" s="573"/>
      <c r="D38" s="573"/>
      <c r="E38" s="573"/>
      <c r="F38" s="162">
        <f>IF(E38="",0,LOOKUP('In-Unit Lighting'!E38,'Interior Lighting'!$I$2:$I$24,'Interior Lighting'!$J$2:$J$24))</f>
        <v>0</v>
      </c>
      <c r="G38" s="162">
        <f>IF(E38="",0,LOOKUP('In-Unit Lighting'!E38,'Interior Lighting'!$I$2:$I$24,'Interior Lighting'!$K$2:$K$24))</f>
        <v>0</v>
      </c>
      <c r="H38" s="573"/>
      <c r="I38" s="559">
        <f t="shared" si="0"/>
        <v>0</v>
      </c>
      <c r="J38" s="560">
        <f t="shared" si="3"/>
        <v>0</v>
      </c>
      <c r="K38" s="561" t="str">
        <f t="shared" si="2"/>
        <v>0.0</v>
      </c>
      <c r="L38" s="466">
        <f t="shared" si="1"/>
      </c>
    </row>
    <row r="39" spans="1:12" ht="13.5" thickBot="1">
      <c r="A39" s="81"/>
      <c r="B39" s="72"/>
      <c r="C39" s="573"/>
      <c r="D39" s="573"/>
      <c r="E39" s="573"/>
      <c r="F39" s="162">
        <f>IF(E39="",0,LOOKUP('In-Unit Lighting'!E39,'Interior Lighting'!$I$2:$I$24,'Interior Lighting'!$J$2:$J$24))</f>
        <v>0</v>
      </c>
      <c r="G39" s="162">
        <f>IF(E39="",0,LOOKUP('In-Unit Lighting'!E39,'Interior Lighting'!$I$2:$I$24,'Interior Lighting'!$K$2:$K$24))</f>
        <v>0</v>
      </c>
      <c r="H39" s="573"/>
      <c r="I39" s="559">
        <f t="shared" si="0"/>
        <v>0</v>
      </c>
      <c r="J39" s="560">
        <f t="shared" si="3"/>
        <v>0</v>
      </c>
      <c r="K39" s="561" t="str">
        <f t="shared" si="2"/>
        <v>0.0</v>
      </c>
      <c r="L39" s="466">
        <f t="shared" si="1"/>
      </c>
    </row>
    <row r="40" spans="1:12" ht="13.5" thickBot="1">
      <c r="A40" s="81"/>
      <c r="B40" s="72"/>
      <c r="C40" s="573"/>
      <c r="D40" s="573"/>
      <c r="E40" s="573"/>
      <c r="F40" s="162">
        <f>IF(E40="",0,LOOKUP('In-Unit Lighting'!E40,'Interior Lighting'!$I$2:$I$24,'Interior Lighting'!$J$2:$J$24))</f>
        <v>0</v>
      </c>
      <c r="G40" s="162">
        <f>IF(E40="",0,LOOKUP('In-Unit Lighting'!E40,'Interior Lighting'!$I$2:$I$24,'Interior Lighting'!$K$2:$K$24))</f>
        <v>0</v>
      </c>
      <c r="H40" s="573"/>
      <c r="I40" s="559">
        <f t="shared" si="0"/>
        <v>0</v>
      </c>
      <c r="J40" s="560">
        <f t="shared" si="3"/>
        <v>0</v>
      </c>
      <c r="K40" s="561" t="str">
        <f t="shared" si="2"/>
        <v>0.0</v>
      </c>
      <c r="L40" s="466">
        <f t="shared" si="1"/>
      </c>
    </row>
    <row r="41" spans="1:12" ht="13.5" thickBot="1">
      <c r="A41" s="81"/>
      <c r="B41" s="72"/>
      <c r="C41" s="573"/>
      <c r="D41" s="573"/>
      <c r="E41" s="573"/>
      <c r="F41" s="162">
        <f>IF(E41="",0,LOOKUP('In-Unit Lighting'!E41,'Interior Lighting'!$I$2:$I$24,'Interior Lighting'!$J$2:$J$24))</f>
        <v>0</v>
      </c>
      <c r="G41" s="162">
        <f>IF(E41="",0,LOOKUP('In-Unit Lighting'!E41,'Interior Lighting'!$I$2:$I$24,'Interior Lighting'!$K$2:$K$24))</f>
        <v>0</v>
      </c>
      <c r="H41" s="573"/>
      <c r="I41" s="559">
        <f t="shared" si="0"/>
        <v>0</v>
      </c>
      <c r="J41" s="560">
        <f t="shared" si="3"/>
        <v>0</v>
      </c>
      <c r="K41" s="561" t="str">
        <f t="shared" si="2"/>
        <v>0.0</v>
      </c>
      <c r="L41" s="466">
        <f t="shared" si="1"/>
      </c>
    </row>
    <row r="42" spans="1:14" ht="12.75">
      <c r="A42" s="81"/>
      <c r="B42" s="81"/>
      <c r="C42" s="81"/>
      <c r="D42" s="81"/>
      <c r="E42" s="81"/>
      <c r="F42" s="81"/>
      <c r="G42" s="81"/>
      <c r="H42" s="562"/>
      <c r="I42" s="86"/>
      <c r="J42" s="86"/>
      <c r="K42" s="86"/>
      <c r="L42" s="5"/>
      <c r="M42" s="731"/>
      <c r="N42" s="731"/>
    </row>
    <row r="43" spans="1:14" ht="13.5" thickBot="1">
      <c r="A43" s="81"/>
      <c r="B43" s="475" t="s">
        <v>286</v>
      </c>
      <c r="C43" s="563"/>
      <c r="D43" s="563"/>
      <c r="E43" s="563"/>
      <c r="F43" s="476"/>
      <c r="G43" s="564"/>
      <c r="H43" s="565"/>
      <c r="I43" s="86"/>
      <c r="J43" s="566"/>
      <c r="K43" s="566"/>
      <c r="L43" s="34"/>
      <c r="M43" s="731"/>
      <c r="N43" s="731"/>
    </row>
    <row r="44" spans="1:14" ht="13.5" thickBot="1">
      <c r="A44" s="81"/>
      <c r="B44" s="1245" t="s">
        <v>287</v>
      </c>
      <c r="C44" s="1245"/>
      <c r="D44" s="1245"/>
      <c r="E44" s="1245"/>
      <c r="F44" s="567">
        <f>SUM(I13:I41)</f>
        <v>0</v>
      </c>
      <c r="G44" s="568"/>
      <c r="H44" s="492"/>
      <c r="I44" s="569"/>
      <c r="J44" s="86"/>
      <c r="K44" s="86"/>
      <c r="L44" s="5"/>
      <c r="M44" s="731"/>
      <c r="N44" s="731"/>
    </row>
    <row r="45" spans="1:14" ht="13.5" thickBot="1">
      <c r="A45" s="81"/>
      <c r="B45" s="1245" t="s">
        <v>288</v>
      </c>
      <c r="C45" s="1245"/>
      <c r="D45" s="1245"/>
      <c r="E45" s="1245"/>
      <c r="F45" s="567">
        <f>SUM(J13:J41)</f>
        <v>0</v>
      </c>
      <c r="G45" s="495"/>
      <c r="H45" s="492"/>
      <c r="I45" s="86"/>
      <c r="J45" s="86"/>
      <c r="K45" s="86"/>
      <c r="L45" s="5"/>
      <c r="M45" s="731"/>
      <c r="N45" s="731"/>
    </row>
    <row r="46" spans="1:14" ht="12.75">
      <c r="A46" s="81"/>
      <c r="B46" s="1245" t="s">
        <v>289</v>
      </c>
      <c r="C46" s="1245"/>
      <c r="D46" s="1245"/>
      <c r="E46" s="1245"/>
      <c r="F46" s="570" t="str">
        <f>IF(F44=0,"NA",F45/F44)</f>
        <v>NA</v>
      </c>
      <c r="G46" s="81"/>
      <c r="H46" s="81"/>
      <c r="I46" s="86"/>
      <c r="J46" s="86"/>
      <c r="K46" s="86"/>
      <c r="L46" s="5"/>
      <c r="M46" s="731"/>
      <c r="N46" s="731"/>
    </row>
    <row r="47" spans="1:12" ht="12.75">
      <c r="A47" s="81"/>
      <c r="B47" s="1244" t="s">
        <v>252</v>
      </c>
      <c r="C47" s="1244"/>
      <c r="D47" s="1244"/>
      <c r="E47" s="1244"/>
      <c r="F47" s="571" t="e">
        <f>(F45+F48*('Basic Info'!C15-F44))/('Basic Info'!C15)</f>
        <v>#DIV/0!</v>
      </c>
      <c r="G47" s="81"/>
      <c r="H47" s="81"/>
      <c r="I47" s="81"/>
      <c r="J47" s="81"/>
      <c r="K47" s="81"/>
      <c r="L47"/>
    </row>
    <row r="48" spans="1:12" ht="12.75">
      <c r="A48" s="81"/>
      <c r="B48" s="1244" t="s">
        <v>290</v>
      </c>
      <c r="C48" s="1244"/>
      <c r="D48" s="1244"/>
      <c r="E48" s="1244"/>
      <c r="F48" s="572">
        <v>1.1</v>
      </c>
      <c r="G48" s="81"/>
      <c r="H48" s="81"/>
      <c r="I48" s="81"/>
      <c r="J48" s="81"/>
      <c r="K48" s="81"/>
      <c r="L48"/>
    </row>
    <row r="50" spans="2:4" ht="12.75">
      <c r="B50" s="764"/>
      <c r="C50" s="764"/>
      <c r="D50" s="764"/>
    </row>
    <row r="60" ht="12.75" hidden="1">
      <c r="B60" s="770" t="s">
        <v>291</v>
      </c>
    </row>
    <row r="61" ht="12.75" hidden="1">
      <c r="B61" s="771" t="s">
        <v>292</v>
      </c>
    </row>
    <row r="62" ht="12.75" hidden="1">
      <c r="B62" s="771" t="s">
        <v>293</v>
      </c>
    </row>
    <row r="63" ht="12.75" hidden="1">
      <c r="B63" s="771" t="s">
        <v>294</v>
      </c>
    </row>
    <row r="64" ht="12.75" hidden="1">
      <c r="B64" s="771" t="s">
        <v>295</v>
      </c>
    </row>
    <row r="65" ht="12.75" hidden="1">
      <c r="B65" s="771" t="s">
        <v>296</v>
      </c>
    </row>
    <row r="66" ht="12.75" hidden="1">
      <c r="B66" s="771" t="s">
        <v>297</v>
      </c>
    </row>
    <row r="67" ht="12.75" hidden="1">
      <c r="B67" s="771" t="s">
        <v>298</v>
      </c>
    </row>
    <row r="68" ht="12.75" hidden="1">
      <c r="B68" s="771" t="s">
        <v>299</v>
      </c>
    </row>
    <row r="69" ht="12.75" hidden="1">
      <c r="B69" s="771" t="s">
        <v>300</v>
      </c>
    </row>
    <row r="70" ht="12.75" hidden="1">
      <c r="B70" s="771" t="s">
        <v>301</v>
      </c>
    </row>
    <row r="71" ht="12.75" hidden="1">
      <c r="B71" s="771" t="s">
        <v>339</v>
      </c>
    </row>
  </sheetData>
  <sheetProtection sheet="1" formatCells="0" insertColumns="0" insertRows="0"/>
  <mergeCells count="8">
    <mergeCell ref="B3:L3"/>
    <mergeCell ref="B4:L4"/>
    <mergeCell ref="B5:L5"/>
    <mergeCell ref="B48:E48"/>
    <mergeCell ref="B47:E47"/>
    <mergeCell ref="B44:E44"/>
    <mergeCell ref="B45:E45"/>
    <mergeCell ref="B46:E46"/>
  </mergeCells>
  <conditionalFormatting sqref="K13:K41">
    <cfRule type="cellIs" priority="1" dxfId="9" operator="lessThan" stopIfTrue="1">
      <formula>16</formula>
    </cfRule>
  </conditionalFormatting>
  <dataValidations count="1">
    <dataValidation type="list" allowBlank="1" showInputMessage="1" showErrorMessage="1" sqref="B13:B41 B72">
      <formula1>$B$61:$B$71</formula1>
    </dataValidation>
  </dataValidation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indexed="60"/>
  </sheetPr>
  <dimension ref="A1:W843"/>
  <sheetViews>
    <sheetView showGridLines="0" zoomScalePageLayoutView="0" workbookViewId="0" topLeftCell="A1">
      <pane ySplit="27" topLeftCell="A28" activePane="bottomLeft" state="frozen"/>
      <selection pane="topLeft" activeCell="B9" sqref="B9"/>
      <selection pane="bottomLeft" activeCell="A1" sqref="A1"/>
    </sheetView>
  </sheetViews>
  <sheetFormatPr defaultColWidth="9.140625" defaultRowHeight="12.75"/>
  <cols>
    <col min="1" max="1" width="8.8515625" style="724" customWidth="1"/>
    <col min="2" max="2" width="14.28125" style="724" customWidth="1"/>
    <col min="3" max="3" width="25.7109375" style="774" bestFit="1" customWidth="1"/>
    <col min="4" max="4" width="30.8515625" style="775" customWidth="1"/>
    <col min="5" max="5" width="11.140625" style="718" customWidth="1"/>
    <col min="6" max="6" width="13.00390625" style="718" customWidth="1"/>
    <col min="7" max="7" width="11.28125" style="718" customWidth="1"/>
    <col min="8" max="8" width="12.00390625" style="718" customWidth="1"/>
    <col min="9" max="9" width="11.421875" style="718" customWidth="1"/>
    <col min="10" max="10" width="12.28125" style="718" customWidth="1"/>
    <col min="11" max="11" width="12.8515625" style="724" customWidth="1"/>
    <col min="12" max="12" width="17.8515625" style="724" customWidth="1"/>
    <col min="13" max="13" width="16.57421875" style="724" customWidth="1"/>
    <col min="14" max="14" width="20.140625" style="724" customWidth="1"/>
    <col min="15" max="15" width="9.140625" style="724" customWidth="1"/>
    <col min="16" max="16" width="10.28125" style="724" customWidth="1"/>
    <col min="17" max="17" width="29.140625" style="724" customWidth="1"/>
    <col min="18" max="18" width="9.140625" style="724" hidden="1" customWidth="1"/>
    <col min="19" max="19" width="32.421875" style="724" hidden="1" customWidth="1"/>
    <col min="20" max="20" width="28.8515625" style="724" hidden="1" customWidth="1"/>
    <col min="21" max="22" width="9.140625" style="724" hidden="1" customWidth="1"/>
    <col min="23" max="23" width="29.140625" style="724" bestFit="1" customWidth="1"/>
    <col min="24" max="16384" width="9.140625" style="724" customWidth="1"/>
  </cols>
  <sheetData>
    <row r="1" spans="1:21" ht="12.75">
      <c r="A1" s="82" t="s">
        <v>402</v>
      </c>
      <c r="B1" s="81"/>
      <c r="C1" s="574"/>
      <c r="D1" s="575"/>
      <c r="E1" s="553"/>
      <c r="F1" s="553"/>
      <c r="G1" s="553"/>
      <c r="H1" s="553"/>
      <c r="I1" s="474" t="s">
        <v>3</v>
      </c>
      <c r="J1" s="474" t="s">
        <v>379</v>
      </c>
      <c r="K1" s="576" t="s">
        <v>680</v>
      </c>
      <c r="L1" s="692" t="s">
        <v>1</v>
      </c>
      <c r="M1" s="474" t="s">
        <v>20</v>
      </c>
      <c r="N1" s="577" t="s">
        <v>731</v>
      </c>
      <c r="O1" s="692" t="s">
        <v>2</v>
      </c>
      <c r="R1" s="776"/>
      <c r="T1" s="777"/>
      <c r="U1" s="778"/>
    </row>
    <row r="2" spans="1:22" ht="12.75">
      <c r="A2" s="701" t="s">
        <v>785</v>
      </c>
      <c r="B2" s="467"/>
      <c r="C2" s="467"/>
      <c r="D2" s="467"/>
      <c r="E2" s="467"/>
      <c r="F2" s="553"/>
      <c r="G2" s="1246" t="s">
        <v>380</v>
      </c>
      <c r="H2" s="1247"/>
      <c r="I2" s="590" t="s">
        <v>381</v>
      </c>
      <c r="J2" s="590"/>
      <c r="K2" s="590"/>
      <c r="L2" s="590"/>
      <c r="M2" s="590"/>
      <c r="N2" s="590"/>
      <c r="O2" s="590"/>
      <c r="R2" s="776" t="s">
        <v>232</v>
      </c>
      <c r="T2" s="777" t="s">
        <v>337</v>
      </c>
      <c r="U2" s="777">
        <v>1.3</v>
      </c>
      <c r="V2" s="724">
        <v>30</v>
      </c>
    </row>
    <row r="3" spans="1:22" ht="12.75">
      <c r="A3" s="81" t="s">
        <v>786</v>
      </c>
      <c r="B3" s="81"/>
      <c r="C3" s="574"/>
      <c r="D3" s="575"/>
      <c r="E3" s="553"/>
      <c r="F3" s="553"/>
      <c r="G3" s="553"/>
      <c r="H3" s="553"/>
      <c r="I3" s="590" t="s">
        <v>382</v>
      </c>
      <c r="J3" s="590"/>
      <c r="K3" s="590"/>
      <c r="L3" s="590"/>
      <c r="M3" s="590"/>
      <c r="N3" s="590"/>
      <c r="O3" s="590"/>
      <c r="R3" s="776" t="s">
        <v>233</v>
      </c>
      <c r="T3" s="777" t="s">
        <v>235</v>
      </c>
      <c r="U3" s="777">
        <v>0.5</v>
      </c>
      <c r="V3" s="724">
        <v>10</v>
      </c>
    </row>
    <row r="4" spans="1:22" ht="12.75">
      <c r="A4" s="81" t="s">
        <v>782</v>
      </c>
      <c r="B4" s="81"/>
      <c r="C4" s="574"/>
      <c r="D4" s="575"/>
      <c r="E4" s="553"/>
      <c r="F4" s="553"/>
      <c r="G4" s="553"/>
      <c r="H4" s="553"/>
      <c r="I4" s="590" t="s">
        <v>383</v>
      </c>
      <c r="J4" s="590"/>
      <c r="K4" s="590"/>
      <c r="L4" s="590"/>
      <c r="M4" s="590"/>
      <c r="N4" s="590"/>
      <c r="O4" s="590"/>
      <c r="R4" s="776" t="s">
        <v>234</v>
      </c>
      <c r="T4" s="777" t="s">
        <v>238</v>
      </c>
      <c r="U4" s="777">
        <v>1.5</v>
      </c>
      <c r="V4" s="724">
        <v>30</v>
      </c>
    </row>
    <row r="5" spans="1:22" ht="12.75">
      <c r="A5" s="81" t="s">
        <v>783</v>
      </c>
      <c r="B5" s="81"/>
      <c r="C5" s="574"/>
      <c r="D5" s="575"/>
      <c r="E5" s="553"/>
      <c r="F5" s="553"/>
      <c r="G5" s="553"/>
      <c r="H5" s="553"/>
      <c r="I5" s="590" t="s">
        <v>384</v>
      </c>
      <c r="J5" s="590"/>
      <c r="K5" s="590"/>
      <c r="L5" s="590"/>
      <c r="M5" s="590"/>
      <c r="N5" s="590"/>
      <c r="O5" s="590"/>
      <c r="R5" s="776" t="s">
        <v>235</v>
      </c>
      <c r="T5" s="777" t="s">
        <v>401</v>
      </c>
      <c r="U5" s="777" t="s">
        <v>652</v>
      </c>
      <c r="V5" s="779" t="s">
        <v>97</v>
      </c>
    </row>
    <row r="6" spans="1:22" ht="12.75">
      <c r="A6" s="81" t="s">
        <v>253</v>
      </c>
      <c r="B6" s="81"/>
      <c r="C6" s="574"/>
      <c r="D6" s="575"/>
      <c r="E6" s="553"/>
      <c r="F6" s="553"/>
      <c r="G6" s="553"/>
      <c r="H6" s="553"/>
      <c r="I6" s="590" t="s">
        <v>385</v>
      </c>
      <c r="J6" s="590"/>
      <c r="K6" s="590"/>
      <c r="L6" s="590"/>
      <c r="M6" s="590"/>
      <c r="N6" s="590"/>
      <c r="O6" s="590"/>
      <c r="R6" s="776" t="s">
        <v>236</v>
      </c>
      <c r="T6" s="777" t="s">
        <v>234</v>
      </c>
      <c r="U6" s="777">
        <v>1.3</v>
      </c>
      <c r="V6" s="724">
        <v>16</v>
      </c>
    </row>
    <row r="7" spans="1:22" ht="12.75">
      <c r="A7" s="81" t="s">
        <v>784</v>
      </c>
      <c r="B7" s="81"/>
      <c r="C7" s="574"/>
      <c r="D7" s="575"/>
      <c r="E7" s="553"/>
      <c r="F7" s="553"/>
      <c r="G7" s="553"/>
      <c r="H7" s="553"/>
      <c r="I7" s="590" t="s">
        <v>386</v>
      </c>
      <c r="J7" s="590"/>
      <c r="K7" s="590"/>
      <c r="L7" s="590"/>
      <c r="M7" s="590"/>
      <c r="N7" s="590"/>
      <c r="O7" s="590"/>
      <c r="R7" s="776" t="s">
        <v>237</v>
      </c>
      <c r="T7" s="777" t="s">
        <v>300</v>
      </c>
      <c r="U7" s="777">
        <v>1.1</v>
      </c>
      <c r="V7" s="724">
        <v>35</v>
      </c>
    </row>
    <row r="8" spans="1:22" ht="12.75">
      <c r="A8" s="83" t="s">
        <v>12</v>
      </c>
      <c r="B8" s="81"/>
      <c r="C8" s="574"/>
      <c r="D8" s="575"/>
      <c r="E8" s="553"/>
      <c r="F8" s="553"/>
      <c r="G8" s="553"/>
      <c r="H8" s="553"/>
      <c r="I8" s="590" t="s">
        <v>387</v>
      </c>
      <c r="J8" s="590"/>
      <c r="K8" s="590"/>
      <c r="L8" s="590"/>
      <c r="M8" s="590"/>
      <c r="N8" s="590"/>
      <c r="O8" s="590"/>
      <c r="R8" s="776" t="s">
        <v>300</v>
      </c>
      <c r="T8" s="777" t="s">
        <v>240</v>
      </c>
      <c r="U8" s="777">
        <v>0.2</v>
      </c>
      <c r="V8" s="724">
        <v>7</v>
      </c>
    </row>
    <row r="9" spans="1:22" ht="12.75">
      <c r="A9" s="81" t="s">
        <v>254</v>
      </c>
      <c r="B9" s="81"/>
      <c r="C9" s="574"/>
      <c r="D9" s="575"/>
      <c r="E9" s="553"/>
      <c r="F9" s="553"/>
      <c r="G9" s="553"/>
      <c r="H9" s="553"/>
      <c r="I9" s="590" t="s">
        <v>388</v>
      </c>
      <c r="J9" s="590"/>
      <c r="K9" s="590"/>
      <c r="L9" s="590"/>
      <c r="M9" s="590"/>
      <c r="N9" s="590"/>
      <c r="O9" s="590"/>
      <c r="R9" s="776" t="s">
        <v>337</v>
      </c>
      <c r="T9" s="777" t="s">
        <v>237</v>
      </c>
      <c r="U9" s="777">
        <v>0.9</v>
      </c>
      <c r="V9" s="724">
        <v>12</v>
      </c>
    </row>
    <row r="10" spans="1:22" ht="12.75">
      <c r="A10" s="81" t="s">
        <v>18</v>
      </c>
      <c r="B10" s="81"/>
      <c r="C10" s="574"/>
      <c r="D10" s="575"/>
      <c r="E10" s="553"/>
      <c r="F10" s="553"/>
      <c r="G10" s="553"/>
      <c r="H10" s="553"/>
      <c r="I10" s="590" t="s">
        <v>389</v>
      </c>
      <c r="J10" s="590"/>
      <c r="K10" s="590"/>
      <c r="L10" s="590"/>
      <c r="M10" s="590"/>
      <c r="N10" s="590"/>
      <c r="O10" s="590"/>
      <c r="R10" s="776" t="s">
        <v>238</v>
      </c>
      <c r="T10" s="777" t="s">
        <v>236</v>
      </c>
      <c r="U10" s="777">
        <v>0.6</v>
      </c>
      <c r="V10" s="724">
        <v>15</v>
      </c>
    </row>
    <row r="11" spans="1:22" ht="12.75">
      <c r="A11" s="802" t="s">
        <v>848</v>
      </c>
      <c r="B11" s="802"/>
      <c r="C11" s="803"/>
      <c r="D11" s="802"/>
      <c r="E11" s="578"/>
      <c r="F11" s="578"/>
      <c r="G11" s="578"/>
      <c r="H11" s="578"/>
      <c r="I11" s="590" t="s">
        <v>390</v>
      </c>
      <c r="J11" s="590"/>
      <c r="K11" s="590"/>
      <c r="L11" s="590"/>
      <c r="M11" s="590"/>
      <c r="N11" s="590"/>
      <c r="O11" s="590"/>
      <c r="R11" s="776" t="s">
        <v>239</v>
      </c>
      <c r="T11" s="777" t="s">
        <v>232</v>
      </c>
      <c r="U11" s="777">
        <v>0.8</v>
      </c>
      <c r="V11" s="724">
        <v>20</v>
      </c>
    </row>
    <row r="12" spans="1:22" ht="12.75">
      <c r="A12" s="784" t="s">
        <v>856</v>
      </c>
      <c r="I12" s="590" t="s">
        <v>391</v>
      </c>
      <c r="J12" s="590"/>
      <c r="K12" s="590"/>
      <c r="L12" s="590"/>
      <c r="M12" s="590"/>
      <c r="N12" s="590"/>
      <c r="O12" s="590"/>
      <c r="R12" s="780" t="s">
        <v>268</v>
      </c>
      <c r="T12" s="777" t="s">
        <v>233</v>
      </c>
      <c r="U12" s="777">
        <v>0.3</v>
      </c>
      <c r="V12" s="724">
        <v>8</v>
      </c>
    </row>
    <row r="13" spans="1:22" ht="13.5" thickBot="1">
      <c r="A13" s="719">
        <f>IF(I26&gt;L26*1.2,"Warning: Installed lighting in combined non-apartment spaces exceeds ASHRAE allowances by more than 20%.","")</f>
      </c>
      <c r="B13" s="725"/>
      <c r="C13" s="784"/>
      <c r="D13" s="725"/>
      <c r="E13" s="785"/>
      <c r="F13" s="785"/>
      <c r="G13" s="785"/>
      <c r="H13" s="785"/>
      <c r="I13" s="596" t="s">
        <v>392</v>
      </c>
      <c r="J13" s="590"/>
      <c r="K13" s="590"/>
      <c r="L13" s="590"/>
      <c r="M13" s="590"/>
      <c r="N13" s="590"/>
      <c r="O13" s="590"/>
      <c r="R13" s="781" t="s">
        <v>401</v>
      </c>
      <c r="T13" s="777" t="s">
        <v>239</v>
      </c>
      <c r="U13" s="777">
        <v>1.9</v>
      </c>
      <c r="V13" s="724">
        <v>50</v>
      </c>
    </row>
    <row r="14" spans="1:18" ht="13.5" thickBot="1">
      <c r="A14" s="725"/>
      <c r="B14" s="725"/>
      <c r="C14" s="784"/>
      <c r="D14" s="725"/>
      <c r="E14" s="785"/>
      <c r="F14" s="785"/>
      <c r="G14" s="785"/>
      <c r="H14" s="785"/>
      <c r="I14" s="590" t="s">
        <v>393</v>
      </c>
      <c r="J14" s="590"/>
      <c r="K14" s="590"/>
      <c r="L14" s="590"/>
      <c r="M14" s="590"/>
      <c r="N14" s="590"/>
      <c r="O14" s="590"/>
      <c r="R14" s="781"/>
    </row>
    <row r="15" spans="1:15" ht="12.75">
      <c r="A15" s="725" t="s">
        <v>867</v>
      </c>
      <c r="B15" s="725"/>
      <c r="C15" s="593" t="s">
        <v>869</v>
      </c>
      <c r="D15" s="725"/>
      <c r="E15" s="785"/>
      <c r="F15" s="785"/>
      <c r="G15" s="785"/>
      <c r="H15" s="785"/>
      <c r="I15" s="590" t="s">
        <v>280</v>
      </c>
      <c r="J15" s="590"/>
      <c r="K15" s="590"/>
      <c r="L15" s="590"/>
      <c r="M15" s="590"/>
      <c r="N15" s="590"/>
      <c r="O15" s="590"/>
    </row>
    <row r="16" spans="1:23" ht="12.75">
      <c r="A16" s="725"/>
      <c r="B16" s="725"/>
      <c r="C16" s="784"/>
      <c r="D16" s="725"/>
      <c r="E16" s="785"/>
      <c r="F16" s="785"/>
      <c r="G16" s="785"/>
      <c r="H16" s="785"/>
      <c r="I16" s="590" t="s">
        <v>21</v>
      </c>
      <c r="J16" s="590"/>
      <c r="K16" s="590"/>
      <c r="L16" s="590"/>
      <c r="M16" s="590"/>
      <c r="N16" s="590"/>
      <c r="O16" s="590"/>
      <c r="W16" s="782"/>
    </row>
    <row r="17" spans="1:23" ht="12.75">
      <c r="A17" s="725"/>
      <c r="B17" s="725"/>
      <c r="C17" s="784"/>
      <c r="D17" s="725"/>
      <c r="E17" s="785"/>
      <c r="F17" s="785"/>
      <c r="G17" s="785"/>
      <c r="H17" s="785"/>
      <c r="I17" s="590" t="s">
        <v>22</v>
      </c>
      <c r="J17" s="590"/>
      <c r="K17" s="590"/>
      <c r="L17" s="590"/>
      <c r="M17" s="590"/>
      <c r="N17" s="590"/>
      <c r="O17" s="590"/>
      <c r="R17" s="783" t="s">
        <v>355</v>
      </c>
      <c r="S17" s="731"/>
      <c r="T17" s="725" t="s">
        <v>869</v>
      </c>
      <c r="W17" s="782"/>
    </row>
    <row r="18" spans="1:23" ht="12.75" customHeight="1">
      <c r="A18" s="725"/>
      <c r="B18" s="725"/>
      <c r="C18" s="784"/>
      <c r="D18" s="725"/>
      <c r="E18" s="785"/>
      <c r="F18" s="785"/>
      <c r="G18" s="785"/>
      <c r="H18" s="785"/>
      <c r="I18" s="590" t="s">
        <v>23</v>
      </c>
      <c r="J18" s="590"/>
      <c r="K18" s="590"/>
      <c r="L18" s="590"/>
      <c r="M18" s="590"/>
      <c r="N18" s="590"/>
      <c r="O18" s="590"/>
      <c r="R18" s="783" t="s">
        <v>356</v>
      </c>
      <c r="T18" s="725" t="s">
        <v>868</v>
      </c>
      <c r="W18" s="782"/>
    </row>
    <row r="19" spans="1:23" ht="12.75">
      <c r="A19" s="725"/>
      <c r="B19" s="725"/>
      <c r="C19" s="784"/>
      <c r="D19" s="725"/>
      <c r="E19" s="785"/>
      <c r="F19" s="785"/>
      <c r="G19" s="785"/>
      <c r="H19" s="785"/>
      <c r="I19" s="590" t="s">
        <v>24</v>
      </c>
      <c r="J19" s="590"/>
      <c r="K19" s="590"/>
      <c r="L19" s="590"/>
      <c r="M19" s="590"/>
      <c r="N19" s="590"/>
      <c r="O19" s="590"/>
      <c r="R19" s="725" t="s">
        <v>855</v>
      </c>
      <c r="W19" s="782"/>
    </row>
    <row r="20" spans="1:23" ht="12.75">
      <c r="A20" s="725"/>
      <c r="B20" s="725"/>
      <c r="C20" s="784"/>
      <c r="D20" s="725"/>
      <c r="E20" s="785"/>
      <c r="F20" s="785"/>
      <c r="G20" s="785"/>
      <c r="H20" s="785"/>
      <c r="I20" s="590" t="s">
        <v>25</v>
      </c>
      <c r="J20" s="590"/>
      <c r="K20" s="590"/>
      <c r="L20" s="590"/>
      <c r="M20" s="590"/>
      <c r="N20" s="590"/>
      <c r="O20" s="590"/>
      <c r="W20" s="782"/>
    </row>
    <row r="21" spans="1:23" ht="12.75">
      <c r="A21" s="725"/>
      <c r="B21" s="725"/>
      <c r="C21" s="784"/>
      <c r="D21" s="725"/>
      <c r="E21" s="785"/>
      <c r="F21" s="785"/>
      <c r="G21" s="785"/>
      <c r="H21" s="785"/>
      <c r="I21" s="590" t="s">
        <v>26</v>
      </c>
      <c r="J21" s="590"/>
      <c r="K21" s="590"/>
      <c r="L21" s="590"/>
      <c r="M21" s="590"/>
      <c r="N21" s="590"/>
      <c r="O21" s="590"/>
      <c r="W21" s="782"/>
    </row>
    <row r="22" spans="1:23" ht="12.75">
      <c r="A22" s="725"/>
      <c r="B22" s="725"/>
      <c r="C22" s="784"/>
      <c r="D22" s="725"/>
      <c r="E22" s="785"/>
      <c r="F22" s="785"/>
      <c r="G22" s="785"/>
      <c r="H22" s="785"/>
      <c r="I22" s="590" t="s">
        <v>27</v>
      </c>
      <c r="J22" s="590"/>
      <c r="K22" s="590"/>
      <c r="L22" s="590"/>
      <c r="M22" s="590"/>
      <c r="N22" s="590"/>
      <c r="O22" s="590"/>
      <c r="V22" s="782"/>
      <c r="W22" s="782"/>
    </row>
    <row r="23" spans="1:23" ht="12.75">
      <c r="A23" s="725"/>
      <c r="B23" s="725"/>
      <c r="C23" s="784"/>
      <c r="D23" s="725"/>
      <c r="E23" s="785"/>
      <c r="F23" s="785"/>
      <c r="G23" s="785"/>
      <c r="H23" s="785"/>
      <c r="I23" s="590" t="s">
        <v>28</v>
      </c>
      <c r="J23" s="590"/>
      <c r="K23" s="590"/>
      <c r="L23" s="590"/>
      <c r="M23" s="590"/>
      <c r="N23" s="590"/>
      <c r="O23" s="590"/>
      <c r="W23" s="782"/>
    </row>
    <row r="24" spans="1:23" ht="12.75">
      <c r="A24" s="725"/>
      <c r="B24" s="725"/>
      <c r="C24" s="784"/>
      <c r="D24" s="725"/>
      <c r="E24" s="785"/>
      <c r="F24" s="785"/>
      <c r="G24" s="785"/>
      <c r="H24" s="801" t="s">
        <v>844</v>
      </c>
      <c r="I24" s="590" t="s">
        <v>208</v>
      </c>
      <c r="J24" s="590"/>
      <c r="K24" s="590"/>
      <c r="L24" s="590"/>
      <c r="M24" s="590"/>
      <c r="N24" s="590"/>
      <c r="O24" s="590"/>
      <c r="W24" s="782"/>
    </row>
    <row r="25" spans="1:23" ht="12.75">
      <c r="A25" s="725"/>
      <c r="B25" s="725"/>
      <c r="C25" s="784"/>
      <c r="D25" s="725"/>
      <c r="E25" s="785"/>
      <c r="F25" s="785"/>
      <c r="G25" s="785"/>
      <c r="H25" s="801"/>
      <c r="I25" s="812"/>
      <c r="J25" s="812"/>
      <c r="K25" s="812"/>
      <c r="L25" s="812"/>
      <c r="M25" s="812"/>
      <c r="N25" s="812"/>
      <c r="O25" s="812"/>
      <c r="W25" s="782"/>
    </row>
    <row r="26" spans="1:15" ht="12.75">
      <c r="A26" s="725"/>
      <c r="B26" s="725"/>
      <c r="C26" s="784"/>
      <c r="D26" s="725"/>
      <c r="E26" s="785"/>
      <c r="F26" s="785"/>
      <c r="G26" s="785"/>
      <c r="H26" s="785"/>
      <c r="I26" s="813">
        <f>SUM(I28:I413)</f>
        <v>0</v>
      </c>
      <c r="J26" s="813"/>
      <c r="K26" s="813"/>
      <c r="L26" s="813">
        <f>SUM(L28:L413)</f>
        <v>0</v>
      </c>
      <c r="M26" s="86"/>
      <c r="N26" s="81"/>
      <c r="O26"/>
    </row>
    <row r="27" spans="1:23" ht="38.25">
      <c r="A27" s="81"/>
      <c r="B27" s="579" t="s">
        <v>394</v>
      </c>
      <c r="C27" s="694" t="s">
        <v>4</v>
      </c>
      <c r="D27" s="553" t="s">
        <v>395</v>
      </c>
      <c r="E27" s="580" t="s">
        <v>396</v>
      </c>
      <c r="F27" s="693" t="s">
        <v>5</v>
      </c>
      <c r="G27" s="580" t="s">
        <v>397</v>
      </c>
      <c r="H27" s="580" t="s">
        <v>398</v>
      </c>
      <c r="I27" s="580" t="s">
        <v>399</v>
      </c>
      <c r="J27" s="580" t="s">
        <v>19</v>
      </c>
      <c r="K27" s="581" t="s">
        <v>573</v>
      </c>
      <c r="L27" s="581" t="s">
        <v>574</v>
      </c>
      <c r="M27" s="582" t="s">
        <v>681</v>
      </c>
      <c r="N27" s="583" t="s">
        <v>682</v>
      </c>
      <c r="O27" s="580" t="s">
        <v>842</v>
      </c>
      <c r="P27"/>
      <c r="W27" s="782"/>
    </row>
    <row r="28" spans="1:23" ht="12.75">
      <c r="A28" s="591"/>
      <c r="B28" s="592"/>
      <c r="C28" s="593"/>
      <c r="D28" s="593"/>
      <c r="E28" s="594"/>
      <c r="F28" s="594"/>
      <c r="G28" s="584" t="e">
        <f>LOOKUP(F28,$I$2:$I$24,$J$2:$J$24)</f>
        <v>#N/A</v>
      </c>
      <c r="H28" s="600"/>
      <c r="I28" s="585">
        <f>IF(E28&gt;0,E28*G28*H28,0)</f>
        <v>0</v>
      </c>
      <c r="J28" s="586" t="e">
        <f>IF(D28="Exit Signs","convert to kW",I28/(B28*H28))</f>
        <v>#DIV/0!</v>
      </c>
      <c r="K28" s="587" t="e">
        <f>IF($C$15="Space-By-Space (9.6.1)",LOOKUP(D28,$T$2:$T$13,$U$2:$U$13),0.7)</f>
        <v>#N/A</v>
      </c>
      <c r="L28" s="587">
        <f>IF(D28="Exit Signs",5*E28,IF(B28&gt;0,K28*B28,0))</f>
        <v>0</v>
      </c>
      <c r="M28" s="588" t="e">
        <f aca="true" t="shared" si="0" ref="M28:M91">IF(D28="Exit Signs","NA",E28*LOOKUP(F28,$I$2:$I$24,$K$2:$K$24)/B28)</f>
        <v>#N/A</v>
      </c>
      <c r="N28" s="589" t="e">
        <f aca="true" t="shared" si="1" ref="N28:N91">LOOKUP(D28,$T$2:$T$13,$V$2:$V$13)</f>
        <v>#N/A</v>
      </c>
      <c r="O28" s="589">
        <f>B28*H28</f>
        <v>0</v>
      </c>
      <c r="P28" s="66">
        <f>IF(E28&gt;0,IF(M28&lt;N28,"Insufficient lighting to meet IESNA footcandle recommendations.",""),"")</f>
      </c>
      <c r="W28" s="782"/>
    </row>
    <row r="29" spans="1:23" ht="12.75">
      <c r="A29" s="595"/>
      <c r="B29" s="592"/>
      <c r="C29" s="593"/>
      <c r="D29" s="593"/>
      <c r="E29" s="594"/>
      <c r="F29" s="594"/>
      <c r="G29" s="584" t="e">
        <f>LOOKUP(F29,$I$2:$I$15,$J$2:$J$15)</f>
        <v>#N/A</v>
      </c>
      <c r="H29" s="600"/>
      <c r="I29" s="585">
        <f aca="true" t="shared" si="2" ref="I29:I92">IF(E29&gt;0,E29*G29*H29,0)</f>
        <v>0</v>
      </c>
      <c r="J29" s="586" t="e">
        <f aca="true" t="shared" si="3" ref="J29:J92">IF(D29="Exit Signs","convert to kW",I29/(B29*H29))</f>
        <v>#DIV/0!</v>
      </c>
      <c r="K29" s="587" t="e">
        <f aca="true" t="shared" si="4" ref="K29:K92">IF($C$15="Space-By-Space (9.6.1)",LOOKUP(D29,$T$2:$T$13,$U$2:$U$13),0.7)</f>
        <v>#N/A</v>
      </c>
      <c r="L29" s="587">
        <f aca="true" t="shared" si="5" ref="L29:L92">IF(D29="Exit Signs",5*E29,IF(B29&gt;0,K29*B29,0))</f>
        <v>0</v>
      </c>
      <c r="M29" s="588" t="e">
        <f t="shared" si="0"/>
        <v>#N/A</v>
      </c>
      <c r="N29" s="589" t="e">
        <f t="shared" si="1"/>
        <v>#N/A</v>
      </c>
      <c r="O29" s="589">
        <f aca="true" t="shared" si="6" ref="O29:O92">B29*H29</f>
        <v>0</v>
      </c>
      <c r="P29" s="66">
        <f aca="true" t="shared" si="7" ref="P29:P92">IF(E29&gt;0,IF(M29&lt;N29,"Insufficient lighting to meet IESNA footcandle recommendations.",""),"")</f>
      </c>
      <c r="W29" s="782"/>
    </row>
    <row r="30" spans="1:23" ht="12.75">
      <c r="A30" s="595"/>
      <c r="B30" s="592"/>
      <c r="C30" s="593"/>
      <c r="D30" s="593"/>
      <c r="E30" s="596"/>
      <c r="F30" s="596"/>
      <c r="G30" s="584" t="e">
        <f aca="true" t="shared" si="8" ref="G30:G91">LOOKUP(F30,$I$2:$I$15,$J$2:$J$15)</f>
        <v>#N/A</v>
      </c>
      <c r="H30" s="600"/>
      <c r="I30" s="585">
        <f t="shared" si="2"/>
        <v>0</v>
      </c>
      <c r="J30" s="586" t="e">
        <f t="shared" si="3"/>
        <v>#DIV/0!</v>
      </c>
      <c r="K30" s="587" t="e">
        <f t="shared" si="4"/>
        <v>#N/A</v>
      </c>
      <c r="L30" s="587">
        <f t="shared" si="5"/>
        <v>0</v>
      </c>
      <c r="M30" s="588" t="e">
        <f t="shared" si="0"/>
        <v>#N/A</v>
      </c>
      <c r="N30" s="589" t="e">
        <f t="shared" si="1"/>
        <v>#N/A</v>
      </c>
      <c r="O30" s="589">
        <f t="shared" si="6"/>
        <v>0</v>
      </c>
      <c r="P30" s="66">
        <f t="shared" si="7"/>
      </c>
      <c r="W30" s="764"/>
    </row>
    <row r="31" spans="1:23" ht="12.75">
      <c r="A31" s="597"/>
      <c r="B31" s="592"/>
      <c r="C31" s="593"/>
      <c r="D31" s="593"/>
      <c r="E31" s="596"/>
      <c r="F31" s="596"/>
      <c r="G31" s="584" t="e">
        <f t="shared" si="8"/>
        <v>#N/A</v>
      </c>
      <c r="H31" s="594"/>
      <c r="I31" s="585">
        <f t="shared" si="2"/>
        <v>0</v>
      </c>
      <c r="J31" s="586" t="e">
        <f t="shared" si="3"/>
        <v>#DIV/0!</v>
      </c>
      <c r="K31" s="587" t="e">
        <f t="shared" si="4"/>
        <v>#N/A</v>
      </c>
      <c r="L31" s="587">
        <f t="shared" si="5"/>
        <v>0</v>
      </c>
      <c r="M31" s="588" t="e">
        <f t="shared" si="0"/>
        <v>#N/A</v>
      </c>
      <c r="N31" s="589" t="e">
        <f t="shared" si="1"/>
        <v>#N/A</v>
      </c>
      <c r="O31" s="589">
        <f t="shared" si="6"/>
        <v>0</v>
      </c>
      <c r="P31" s="66">
        <f t="shared" si="7"/>
      </c>
      <c r="W31" s="764"/>
    </row>
    <row r="32" spans="1:23" ht="12.75">
      <c r="A32" s="597"/>
      <c r="B32" s="592"/>
      <c r="C32" s="593"/>
      <c r="D32" s="593"/>
      <c r="E32" s="596"/>
      <c r="F32" s="592"/>
      <c r="G32" s="584" t="e">
        <f t="shared" si="8"/>
        <v>#N/A</v>
      </c>
      <c r="H32" s="600"/>
      <c r="I32" s="585">
        <f t="shared" si="2"/>
        <v>0</v>
      </c>
      <c r="J32" s="586" t="e">
        <f t="shared" si="3"/>
        <v>#DIV/0!</v>
      </c>
      <c r="K32" s="587" t="e">
        <f t="shared" si="4"/>
        <v>#N/A</v>
      </c>
      <c r="L32" s="587">
        <f t="shared" si="5"/>
        <v>0</v>
      </c>
      <c r="M32" s="588" t="e">
        <f t="shared" si="0"/>
        <v>#N/A</v>
      </c>
      <c r="N32" s="589" t="e">
        <f t="shared" si="1"/>
        <v>#N/A</v>
      </c>
      <c r="O32" s="589">
        <f t="shared" si="6"/>
        <v>0</v>
      </c>
      <c r="P32" s="66">
        <f t="shared" si="7"/>
      </c>
      <c r="W32" s="764"/>
    </row>
    <row r="33" spans="1:23" ht="12.75">
      <c r="A33" s="597"/>
      <c r="B33" s="592"/>
      <c r="C33" s="593"/>
      <c r="D33" s="593"/>
      <c r="E33" s="596"/>
      <c r="F33" s="592"/>
      <c r="G33" s="584" t="e">
        <f t="shared" si="8"/>
        <v>#N/A</v>
      </c>
      <c r="H33" s="600"/>
      <c r="I33" s="585">
        <f t="shared" si="2"/>
        <v>0</v>
      </c>
      <c r="J33" s="586" t="e">
        <f t="shared" si="3"/>
        <v>#DIV/0!</v>
      </c>
      <c r="K33" s="587" t="e">
        <f t="shared" si="4"/>
        <v>#N/A</v>
      </c>
      <c r="L33" s="587">
        <f t="shared" si="5"/>
        <v>0</v>
      </c>
      <c r="M33" s="588" t="e">
        <f t="shared" si="0"/>
        <v>#N/A</v>
      </c>
      <c r="N33" s="589" t="e">
        <f t="shared" si="1"/>
        <v>#N/A</v>
      </c>
      <c r="O33" s="589">
        <f t="shared" si="6"/>
        <v>0</v>
      </c>
      <c r="P33" s="66">
        <f t="shared" si="7"/>
      </c>
      <c r="W33" s="764"/>
    </row>
    <row r="34" spans="1:23" ht="12.75">
      <c r="A34" s="597"/>
      <c r="B34" s="592"/>
      <c r="C34" s="593"/>
      <c r="D34" s="593"/>
      <c r="E34" s="596"/>
      <c r="F34" s="592"/>
      <c r="G34" s="584" t="e">
        <f t="shared" si="8"/>
        <v>#N/A</v>
      </c>
      <c r="H34" s="600"/>
      <c r="I34" s="585">
        <f t="shared" si="2"/>
        <v>0</v>
      </c>
      <c r="J34" s="586" t="e">
        <f t="shared" si="3"/>
        <v>#DIV/0!</v>
      </c>
      <c r="K34" s="587" t="e">
        <f t="shared" si="4"/>
        <v>#N/A</v>
      </c>
      <c r="L34" s="587">
        <f t="shared" si="5"/>
        <v>0</v>
      </c>
      <c r="M34" s="588" t="e">
        <f t="shared" si="0"/>
        <v>#N/A</v>
      </c>
      <c r="N34" s="589" t="e">
        <f t="shared" si="1"/>
        <v>#N/A</v>
      </c>
      <c r="O34" s="589">
        <f t="shared" si="6"/>
        <v>0</v>
      </c>
      <c r="P34" s="66">
        <f t="shared" si="7"/>
      </c>
      <c r="W34" s="782"/>
    </row>
    <row r="35" spans="1:23" ht="12.75">
      <c r="A35" s="597"/>
      <c r="B35" s="592"/>
      <c r="C35" s="593"/>
      <c r="D35" s="593"/>
      <c r="E35" s="596"/>
      <c r="F35" s="592"/>
      <c r="G35" s="584" t="e">
        <f t="shared" si="8"/>
        <v>#N/A</v>
      </c>
      <c r="H35" s="600"/>
      <c r="I35" s="585">
        <f t="shared" si="2"/>
        <v>0</v>
      </c>
      <c r="J35" s="586" t="e">
        <f t="shared" si="3"/>
        <v>#DIV/0!</v>
      </c>
      <c r="K35" s="587" t="e">
        <f t="shared" si="4"/>
        <v>#N/A</v>
      </c>
      <c r="L35" s="587">
        <f t="shared" si="5"/>
        <v>0</v>
      </c>
      <c r="M35" s="588" t="e">
        <f t="shared" si="0"/>
        <v>#N/A</v>
      </c>
      <c r="N35" s="589" t="e">
        <f t="shared" si="1"/>
        <v>#N/A</v>
      </c>
      <c r="O35" s="589">
        <f t="shared" si="6"/>
        <v>0</v>
      </c>
      <c r="P35" s="66">
        <f t="shared" si="7"/>
      </c>
      <c r="W35" s="782"/>
    </row>
    <row r="36" spans="1:23" ht="12.75">
      <c r="A36" s="597"/>
      <c r="B36" s="592"/>
      <c r="C36" s="598"/>
      <c r="D36" s="593"/>
      <c r="E36" s="596"/>
      <c r="F36" s="592"/>
      <c r="G36" s="584" t="e">
        <f t="shared" si="8"/>
        <v>#N/A</v>
      </c>
      <c r="H36" s="600"/>
      <c r="I36" s="585">
        <f t="shared" si="2"/>
        <v>0</v>
      </c>
      <c r="J36" s="586" t="e">
        <f t="shared" si="3"/>
        <v>#DIV/0!</v>
      </c>
      <c r="K36" s="587" t="e">
        <f t="shared" si="4"/>
        <v>#N/A</v>
      </c>
      <c r="L36" s="587">
        <f t="shared" si="5"/>
        <v>0</v>
      </c>
      <c r="M36" s="588" t="e">
        <f t="shared" si="0"/>
        <v>#N/A</v>
      </c>
      <c r="N36" s="589" t="e">
        <f t="shared" si="1"/>
        <v>#N/A</v>
      </c>
      <c r="O36" s="589">
        <f t="shared" si="6"/>
        <v>0</v>
      </c>
      <c r="P36" s="66">
        <f t="shared" si="7"/>
      </c>
      <c r="W36" s="782"/>
    </row>
    <row r="37" spans="1:23" ht="12.75">
      <c r="A37" s="597"/>
      <c r="B37" s="592"/>
      <c r="C37" s="598"/>
      <c r="D37" s="593"/>
      <c r="E37" s="596"/>
      <c r="F37" s="596"/>
      <c r="G37" s="584" t="e">
        <f t="shared" si="8"/>
        <v>#N/A</v>
      </c>
      <c r="H37" s="600"/>
      <c r="I37" s="585">
        <f t="shared" si="2"/>
        <v>0</v>
      </c>
      <c r="J37" s="586" t="e">
        <f t="shared" si="3"/>
        <v>#DIV/0!</v>
      </c>
      <c r="K37" s="587" t="e">
        <f t="shared" si="4"/>
        <v>#N/A</v>
      </c>
      <c r="L37" s="587">
        <f>IF(D37="Exit Signs",5*E37,IF(B37&gt;0,K37*B37,0))</f>
        <v>0</v>
      </c>
      <c r="M37" s="588" t="e">
        <f t="shared" si="0"/>
        <v>#N/A</v>
      </c>
      <c r="N37" s="589" t="e">
        <f t="shared" si="1"/>
        <v>#N/A</v>
      </c>
      <c r="O37" s="589">
        <f t="shared" si="6"/>
        <v>0</v>
      </c>
      <c r="P37" s="66">
        <f t="shared" si="7"/>
      </c>
      <c r="W37" s="764"/>
    </row>
    <row r="38" spans="1:23" ht="12.75">
      <c r="A38" s="597"/>
      <c r="B38" s="592"/>
      <c r="C38" s="593"/>
      <c r="D38" s="593"/>
      <c r="E38" s="596"/>
      <c r="F38" s="592"/>
      <c r="G38" s="584" t="e">
        <f t="shared" si="8"/>
        <v>#N/A</v>
      </c>
      <c r="H38" s="600"/>
      <c r="I38" s="585">
        <f t="shared" si="2"/>
        <v>0</v>
      </c>
      <c r="J38" s="586" t="e">
        <f t="shared" si="3"/>
        <v>#DIV/0!</v>
      </c>
      <c r="K38" s="587" t="e">
        <f t="shared" si="4"/>
        <v>#N/A</v>
      </c>
      <c r="L38" s="587">
        <f t="shared" si="5"/>
        <v>0</v>
      </c>
      <c r="M38" s="588" t="e">
        <f t="shared" si="0"/>
        <v>#N/A</v>
      </c>
      <c r="N38" s="589" t="e">
        <f t="shared" si="1"/>
        <v>#N/A</v>
      </c>
      <c r="O38" s="589">
        <f t="shared" si="6"/>
        <v>0</v>
      </c>
      <c r="P38" s="66">
        <f t="shared" si="7"/>
      </c>
      <c r="W38" s="782"/>
    </row>
    <row r="39" spans="1:23" ht="12.75">
      <c r="A39" s="597"/>
      <c r="B39" s="592"/>
      <c r="C39" s="593"/>
      <c r="D39" s="593"/>
      <c r="E39" s="596"/>
      <c r="F39" s="596"/>
      <c r="G39" s="584" t="e">
        <f t="shared" si="8"/>
        <v>#N/A</v>
      </c>
      <c r="H39" s="600"/>
      <c r="I39" s="585">
        <f t="shared" si="2"/>
        <v>0</v>
      </c>
      <c r="J39" s="586" t="e">
        <f t="shared" si="3"/>
        <v>#DIV/0!</v>
      </c>
      <c r="K39" s="587" t="e">
        <f t="shared" si="4"/>
        <v>#N/A</v>
      </c>
      <c r="L39" s="587">
        <f t="shared" si="5"/>
        <v>0</v>
      </c>
      <c r="M39" s="588" t="e">
        <f t="shared" si="0"/>
        <v>#N/A</v>
      </c>
      <c r="N39" s="589" t="e">
        <f t="shared" si="1"/>
        <v>#N/A</v>
      </c>
      <c r="O39" s="589">
        <f t="shared" si="6"/>
        <v>0</v>
      </c>
      <c r="P39" s="66">
        <f t="shared" si="7"/>
      </c>
      <c r="W39" s="764"/>
    </row>
    <row r="40" spans="1:23" ht="12.75">
      <c r="A40" s="597"/>
      <c r="B40" s="592"/>
      <c r="C40" s="593"/>
      <c r="D40" s="593"/>
      <c r="E40" s="596"/>
      <c r="F40" s="596"/>
      <c r="G40" s="584" t="e">
        <f t="shared" si="8"/>
        <v>#N/A</v>
      </c>
      <c r="H40" s="600"/>
      <c r="I40" s="585">
        <f t="shared" si="2"/>
        <v>0</v>
      </c>
      <c r="J40" s="586" t="e">
        <f t="shared" si="3"/>
        <v>#DIV/0!</v>
      </c>
      <c r="K40" s="587" t="e">
        <f t="shared" si="4"/>
        <v>#N/A</v>
      </c>
      <c r="L40" s="587">
        <f t="shared" si="5"/>
        <v>0</v>
      </c>
      <c r="M40" s="588" t="e">
        <f t="shared" si="0"/>
        <v>#N/A</v>
      </c>
      <c r="N40" s="589" t="e">
        <f t="shared" si="1"/>
        <v>#N/A</v>
      </c>
      <c r="O40" s="589">
        <f t="shared" si="6"/>
        <v>0</v>
      </c>
      <c r="P40" s="66">
        <f t="shared" si="7"/>
      </c>
      <c r="W40" s="764"/>
    </row>
    <row r="41" spans="1:23" ht="12.75">
      <c r="A41" s="597"/>
      <c r="B41" s="592"/>
      <c r="C41" s="593"/>
      <c r="D41" s="593"/>
      <c r="E41" s="596"/>
      <c r="F41" s="596"/>
      <c r="G41" s="584" t="e">
        <f t="shared" si="8"/>
        <v>#N/A</v>
      </c>
      <c r="H41" s="600"/>
      <c r="I41" s="585">
        <f t="shared" si="2"/>
        <v>0</v>
      </c>
      <c r="J41" s="586" t="e">
        <f t="shared" si="3"/>
        <v>#DIV/0!</v>
      </c>
      <c r="K41" s="587" t="e">
        <f t="shared" si="4"/>
        <v>#N/A</v>
      </c>
      <c r="L41" s="587">
        <f t="shared" si="5"/>
        <v>0</v>
      </c>
      <c r="M41" s="588" t="e">
        <f t="shared" si="0"/>
        <v>#N/A</v>
      </c>
      <c r="N41" s="589" t="e">
        <f t="shared" si="1"/>
        <v>#N/A</v>
      </c>
      <c r="O41" s="589">
        <f t="shared" si="6"/>
        <v>0</v>
      </c>
      <c r="P41" s="66">
        <f t="shared" si="7"/>
      </c>
      <c r="W41" s="764"/>
    </row>
    <row r="42" spans="1:23" ht="12.75">
      <c r="A42" s="597"/>
      <c r="B42" s="592"/>
      <c r="C42" s="593"/>
      <c r="D42" s="593"/>
      <c r="E42" s="596"/>
      <c r="F42" s="596"/>
      <c r="G42" s="584" t="e">
        <f t="shared" si="8"/>
        <v>#N/A</v>
      </c>
      <c r="H42" s="600"/>
      <c r="I42" s="585">
        <f t="shared" si="2"/>
        <v>0</v>
      </c>
      <c r="J42" s="586" t="e">
        <f t="shared" si="3"/>
        <v>#DIV/0!</v>
      </c>
      <c r="K42" s="587" t="e">
        <f t="shared" si="4"/>
        <v>#N/A</v>
      </c>
      <c r="L42" s="587">
        <f t="shared" si="5"/>
        <v>0</v>
      </c>
      <c r="M42" s="588" t="e">
        <f t="shared" si="0"/>
        <v>#N/A</v>
      </c>
      <c r="N42" s="589" t="e">
        <f t="shared" si="1"/>
        <v>#N/A</v>
      </c>
      <c r="O42" s="589">
        <f t="shared" si="6"/>
        <v>0</v>
      </c>
      <c r="P42" s="66">
        <f t="shared" si="7"/>
      </c>
      <c r="W42" s="764"/>
    </row>
    <row r="43" spans="1:23" ht="12.75">
      <c r="A43" s="597"/>
      <c r="B43" s="592"/>
      <c r="C43" s="593"/>
      <c r="D43" s="593"/>
      <c r="E43" s="596"/>
      <c r="F43" s="596"/>
      <c r="G43" s="584" t="e">
        <f t="shared" si="8"/>
        <v>#N/A</v>
      </c>
      <c r="H43" s="600"/>
      <c r="I43" s="585">
        <f t="shared" si="2"/>
        <v>0</v>
      </c>
      <c r="J43" s="586" t="e">
        <f t="shared" si="3"/>
        <v>#DIV/0!</v>
      </c>
      <c r="K43" s="587" t="e">
        <f t="shared" si="4"/>
        <v>#N/A</v>
      </c>
      <c r="L43" s="587">
        <f t="shared" si="5"/>
        <v>0</v>
      </c>
      <c r="M43" s="588" t="e">
        <f t="shared" si="0"/>
        <v>#N/A</v>
      </c>
      <c r="N43" s="589" t="e">
        <f t="shared" si="1"/>
        <v>#N/A</v>
      </c>
      <c r="O43" s="589">
        <f t="shared" si="6"/>
        <v>0</v>
      </c>
      <c r="P43" s="66">
        <f t="shared" si="7"/>
      </c>
      <c r="W43" s="764"/>
    </row>
    <row r="44" spans="1:23" ht="12.75">
      <c r="A44" s="597"/>
      <c r="B44" s="592"/>
      <c r="C44" s="593"/>
      <c r="D44" s="593"/>
      <c r="E44" s="596"/>
      <c r="F44" s="596"/>
      <c r="G44" s="584" t="e">
        <f t="shared" si="8"/>
        <v>#N/A</v>
      </c>
      <c r="H44" s="600"/>
      <c r="I44" s="585">
        <f t="shared" si="2"/>
        <v>0</v>
      </c>
      <c r="J44" s="586" t="e">
        <f t="shared" si="3"/>
        <v>#DIV/0!</v>
      </c>
      <c r="K44" s="587" t="e">
        <f t="shared" si="4"/>
        <v>#N/A</v>
      </c>
      <c r="L44" s="587">
        <f t="shared" si="5"/>
        <v>0</v>
      </c>
      <c r="M44" s="588" t="e">
        <f t="shared" si="0"/>
        <v>#N/A</v>
      </c>
      <c r="N44" s="589" t="e">
        <f t="shared" si="1"/>
        <v>#N/A</v>
      </c>
      <c r="O44" s="589">
        <f t="shared" si="6"/>
        <v>0</v>
      </c>
      <c r="P44" s="66">
        <f t="shared" si="7"/>
      </c>
      <c r="W44" s="764"/>
    </row>
    <row r="45" spans="1:23" ht="12.75">
      <c r="A45" s="597"/>
      <c r="B45" s="592"/>
      <c r="C45" s="593"/>
      <c r="D45" s="593"/>
      <c r="E45" s="596"/>
      <c r="F45" s="596"/>
      <c r="G45" s="584" t="e">
        <f t="shared" si="8"/>
        <v>#N/A</v>
      </c>
      <c r="H45" s="600"/>
      <c r="I45" s="585">
        <f t="shared" si="2"/>
        <v>0</v>
      </c>
      <c r="J45" s="586" t="e">
        <f t="shared" si="3"/>
        <v>#DIV/0!</v>
      </c>
      <c r="K45" s="587" t="e">
        <f t="shared" si="4"/>
        <v>#N/A</v>
      </c>
      <c r="L45" s="587">
        <f t="shared" si="5"/>
        <v>0</v>
      </c>
      <c r="M45" s="588" t="e">
        <f t="shared" si="0"/>
        <v>#N/A</v>
      </c>
      <c r="N45" s="589" t="e">
        <f t="shared" si="1"/>
        <v>#N/A</v>
      </c>
      <c r="O45" s="589">
        <f t="shared" si="6"/>
        <v>0</v>
      </c>
      <c r="P45" s="66">
        <f t="shared" si="7"/>
      </c>
      <c r="W45" s="764"/>
    </row>
    <row r="46" spans="1:16" ht="12.75">
      <c r="A46" s="597"/>
      <c r="B46" s="592"/>
      <c r="C46" s="593"/>
      <c r="D46" s="593"/>
      <c r="E46" s="596"/>
      <c r="F46" s="596"/>
      <c r="G46" s="584" t="e">
        <f t="shared" si="8"/>
        <v>#N/A</v>
      </c>
      <c r="H46" s="600"/>
      <c r="I46" s="585">
        <f t="shared" si="2"/>
        <v>0</v>
      </c>
      <c r="J46" s="586" t="e">
        <f t="shared" si="3"/>
        <v>#DIV/0!</v>
      </c>
      <c r="K46" s="587" t="e">
        <f t="shared" si="4"/>
        <v>#N/A</v>
      </c>
      <c r="L46" s="587">
        <f t="shared" si="5"/>
        <v>0</v>
      </c>
      <c r="M46" s="588" t="e">
        <f t="shared" si="0"/>
        <v>#N/A</v>
      </c>
      <c r="N46" s="589" t="e">
        <f t="shared" si="1"/>
        <v>#N/A</v>
      </c>
      <c r="O46" s="589">
        <f t="shared" si="6"/>
        <v>0</v>
      </c>
      <c r="P46" s="66">
        <f t="shared" si="7"/>
      </c>
    </row>
    <row r="47" spans="1:16" ht="12.75">
      <c r="A47" s="461"/>
      <c r="B47" s="592"/>
      <c r="C47" s="593"/>
      <c r="D47" s="593"/>
      <c r="E47" s="596"/>
      <c r="F47" s="596"/>
      <c r="G47" s="584" t="e">
        <f t="shared" si="8"/>
        <v>#N/A</v>
      </c>
      <c r="H47" s="600"/>
      <c r="I47" s="585">
        <f t="shared" si="2"/>
        <v>0</v>
      </c>
      <c r="J47" s="586" t="e">
        <f t="shared" si="3"/>
        <v>#DIV/0!</v>
      </c>
      <c r="K47" s="587" t="e">
        <f t="shared" si="4"/>
        <v>#N/A</v>
      </c>
      <c r="L47" s="587">
        <f t="shared" si="5"/>
        <v>0</v>
      </c>
      <c r="M47" s="588" t="e">
        <f t="shared" si="0"/>
        <v>#N/A</v>
      </c>
      <c r="N47" s="589" t="e">
        <f t="shared" si="1"/>
        <v>#N/A</v>
      </c>
      <c r="O47" s="589">
        <f t="shared" si="6"/>
        <v>0</v>
      </c>
      <c r="P47" s="66">
        <f t="shared" si="7"/>
      </c>
    </row>
    <row r="48" spans="1:16" ht="12.75">
      <c r="A48" s="595"/>
      <c r="B48" s="592"/>
      <c r="C48" s="593"/>
      <c r="D48" s="593"/>
      <c r="E48" s="596"/>
      <c r="F48" s="596"/>
      <c r="G48" s="584" t="e">
        <f t="shared" si="8"/>
        <v>#N/A</v>
      </c>
      <c r="H48" s="600"/>
      <c r="I48" s="585">
        <f t="shared" si="2"/>
        <v>0</v>
      </c>
      <c r="J48" s="586" t="e">
        <f t="shared" si="3"/>
        <v>#DIV/0!</v>
      </c>
      <c r="K48" s="587" t="e">
        <f t="shared" si="4"/>
        <v>#N/A</v>
      </c>
      <c r="L48" s="587">
        <f t="shared" si="5"/>
        <v>0</v>
      </c>
      <c r="M48" s="588" t="e">
        <f t="shared" si="0"/>
        <v>#N/A</v>
      </c>
      <c r="N48" s="589" t="e">
        <f t="shared" si="1"/>
        <v>#N/A</v>
      </c>
      <c r="O48" s="589">
        <f t="shared" si="6"/>
        <v>0</v>
      </c>
      <c r="P48" s="66">
        <f t="shared" si="7"/>
      </c>
    </row>
    <row r="49" spans="1:16" ht="12.75">
      <c r="A49" s="597"/>
      <c r="B49" s="592"/>
      <c r="C49" s="593"/>
      <c r="D49" s="593"/>
      <c r="E49" s="596"/>
      <c r="F49" s="596"/>
      <c r="G49" s="584" t="e">
        <f t="shared" si="8"/>
        <v>#N/A</v>
      </c>
      <c r="H49" s="600"/>
      <c r="I49" s="585">
        <f t="shared" si="2"/>
        <v>0</v>
      </c>
      <c r="J49" s="586" t="e">
        <f t="shared" si="3"/>
        <v>#DIV/0!</v>
      </c>
      <c r="K49" s="587" t="e">
        <f t="shared" si="4"/>
        <v>#N/A</v>
      </c>
      <c r="L49" s="587">
        <f t="shared" si="5"/>
        <v>0</v>
      </c>
      <c r="M49" s="588" t="e">
        <f t="shared" si="0"/>
        <v>#N/A</v>
      </c>
      <c r="N49" s="589" t="e">
        <f t="shared" si="1"/>
        <v>#N/A</v>
      </c>
      <c r="O49" s="589">
        <f t="shared" si="6"/>
        <v>0</v>
      </c>
      <c r="P49" s="66">
        <f t="shared" si="7"/>
      </c>
    </row>
    <row r="50" spans="1:16" ht="12.75">
      <c r="A50" s="597"/>
      <c r="B50" s="592"/>
      <c r="C50" s="593"/>
      <c r="D50" s="593"/>
      <c r="E50" s="596"/>
      <c r="F50" s="596"/>
      <c r="G50" s="584" t="e">
        <f t="shared" si="8"/>
        <v>#N/A</v>
      </c>
      <c r="H50" s="600"/>
      <c r="I50" s="585">
        <f t="shared" si="2"/>
        <v>0</v>
      </c>
      <c r="J50" s="586" t="e">
        <f t="shared" si="3"/>
        <v>#DIV/0!</v>
      </c>
      <c r="K50" s="587" t="e">
        <f t="shared" si="4"/>
        <v>#N/A</v>
      </c>
      <c r="L50" s="587">
        <f t="shared" si="5"/>
        <v>0</v>
      </c>
      <c r="M50" s="588" t="e">
        <f t="shared" si="0"/>
        <v>#N/A</v>
      </c>
      <c r="N50" s="589" t="e">
        <f t="shared" si="1"/>
        <v>#N/A</v>
      </c>
      <c r="O50" s="589">
        <f t="shared" si="6"/>
        <v>0</v>
      </c>
      <c r="P50" s="66">
        <f t="shared" si="7"/>
      </c>
    </row>
    <row r="51" spans="1:16" ht="12.75">
      <c r="A51" s="462"/>
      <c r="B51" s="592"/>
      <c r="C51" s="593"/>
      <c r="D51" s="593"/>
      <c r="E51" s="596"/>
      <c r="F51" s="596"/>
      <c r="G51" s="584" t="e">
        <f t="shared" si="8"/>
        <v>#N/A</v>
      </c>
      <c r="H51" s="600"/>
      <c r="I51" s="585">
        <f t="shared" si="2"/>
        <v>0</v>
      </c>
      <c r="J51" s="586" t="e">
        <f t="shared" si="3"/>
        <v>#DIV/0!</v>
      </c>
      <c r="K51" s="587" t="e">
        <f t="shared" si="4"/>
        <v>#N/A</v>
      </c>
      <c r="L51" s="587">
        <f t="shared" si="5"/>
        <v>0</v>
      </c>
      <c r="M51" s="588" t="e">
        <f t="shared" si="0"/>
        <v>#N/A</v>
      </c>
      <c r="N51" s="589" t="e">
        <f t="shared" si="1"/>
        <v>#N/A</v>
      </c>
      <c r="O51" s="589">
        <f t="shared" si="6"/>
        <v>0</v>
      </c>
      <c r="P51" s="66">
        <f t="shared" si="7"/>
      </c>
    </row>
    <row r="52" spans="1:16" ht="12.75">
      <c r="A52" s="462"/>
      <c r="B52" s="592"/>
      <c r="C52" s="593"/>
      <c r="D52" s="593"/>
      <c r="E52" s="596"/>
      <c r="F52" s="596"/>
      <c r="G52" s="584" t="e">
        <f t="shared" si="8"/>
        <v>#N/A</v>
      </c>
      <c r="H52" s="600"/>
      <c r="I52" s="585">
        <f t="shared" si="2"/>
        <v>0</v>
      </c>
      <c r="J52" s="586" t="e">
        <f t="shared" si="3"/>
        <v>#DIV/0!</v>
      </c>
      <c r="K52" s="587" t="e">
        <f t="shared" si="4"/>
        <v>#N/A</v>
      </c>
      <c r="L52" s="587">
        <f t="shared" si="5"/>
        <v>0</v>
      </c>
      <c r="M52" s="588" t="e">
        <f t="shared" si="0"/>
        <v>#N/A</v>
      </c>
      <c r="N52" s="589" t="e">
        <f t="shared" si="1"/>
        <v>#N/A</v>
      </c>
      <c r="O52" s="589">
        <f t="shared" si="6"/>
        <v>0</v>
      </c>
      <c r="P52" s="66">
        <f t="shared" si="7"/>
      </c>
    </row>
    <row r="53" spans="1:16" ht="12.75">
      <c r="A53" s="590"/>
      <c r="B53" s="592"/>
      <c r="C53" s="593"/>
      <c r="D53" s="593"/>
      <c r="E53" s="596"/>
      <c r="F53" s="596"/>
      <c r="G53" s="584" t="e">
        <f t="shared" si="8"/>
        <v>#N/A</v>
      </c>
      <c r="H53" s="600"/>
      <c r="I53" s="585">
        <f t="shared" si="2"/>
        <v>0</v>
      </c>
      <c r="J53" s="586" t="e">
        <f t="shared" si="3"/>
        <v>#DIV/0!</v>
      </c>
      <c r="K53" s="587" t="e">
        <f t="shared" si="4"/>
        <v>#N/A</v>
      </c>
      <c r="L53" s="587">
        <f t="shared" si="5"/>
        <v>0</v>
      </c>
      <c r="M53" s="588" t="e">
        <f t="shared" si="0"/>
        <v>#N/A</v>
      </c>
      <c r="N53" s="589" t="e">
        <f t="shared" si="1"/>
        <v>#N/A</v>
      </c>
      <c r="O53" s="589">
        <f t="shared" si="6"/>
        <v>0</v>
      </c>
      <c r="P53" s="66">
        <f t="shared" si="7"/>
      </c>
    </row>
    <row r="54" spans="1:16" ht="12.75">
      <c r="A54" s="590"/>
      <c r="B54" s="592"/>
      <c r="C54" s="599"/>
      <c r="D54" s="593"/>
      <c r="E54" s="596"/>
      <c r="F54" s="596"/>
      <c r="G54" s="584" t="e">
        <f t="shared" si="8"/>
        <v>#N/A</v>
      </c>
      <c r="H54" s="600"/>
      <c r="I54" s="585">
        <f t="shared" si="2"/>
        <v>0</v>
      </c>
      <c r="J54" s="586" t="e">
        <f t="shared" si="3"/>
        <v>#DIV/0!</v>
      </c>
      <c r="K54" s="587" t="e">
        <f t="shared" si="4"/>
        <v>#N/A</v>
      </c>
      <c r="L54" s="587">
        <f t="shared" si="5"/>
        <v>0</v>
      </c>
      <c r="M54" s="588" t="e">
        <f t="shared" si="0"/>
        <v>#N/A</v>
      </c>
      <c r="N54" s="589" t="e">
        <f t="shared" si="1"/>
        <v>#N/A</v>
      </c>
      <c r="O54" s="589">
        <f t="shared" si="6"/>
        <v>0</v>
      </c>
      <c r="P54" s="66">
        <f t="shared" si="7"/>
      </c>
    </row>
    <row r="55" spans="1:16" ht="12.75">
      <c r="A55" s="590"/>
      <c r="B55" s="592"/>
      <c r="C55" s="593"/>
      <c r="D55" s="593"/>
      <c r="E55" s="596"/>
      <c r="F55" s="596"/>
      <c r="G55" s="584" t="e">
        <f t="shared" si="8"/>
        <v>#N/A</v>
      </c>
      <c r="H55" s="600"/>
      <c r="I55" s="585">
        <f t="shared" si="2"/>
        <v>0</v>
      </c>
      <c r="J55" s="586" t="e">
        <f t="shared" si="3"/>
        <v>#DIV/0!</v>
      </c>
      <c r="K55" s="587" t="e">
        <f t="shared" si="4"/>
        <v>#N/A</v>
      </c>
      <c r="L55" s="587">
        <f t="shared" si="5"/>
        <v>0</v>
      </c>
      <c r="M55" s="588" t="e">
        <f t="shared" si="0"/>
        <v>#N/A</v>
      </c>
      <c r="N55" s="589" t="e">
        <f t="shared" si="1"/>
        <v>#N/A</v>
      </c>
      <c r="O55" s="589">
        <f t="shared" si="6"/>
        <v>0</v>
      </c>
      <c r="P55" s="66">
        <f t="shared" si="7"/>
      </c>
    </row>
    <row r="56" spans="1:16" ht="12.75">
      <c r="A56" s="590"/>
      <c r="B56" s="592"/>
      <c r="C56" s="593"/>
      <c r="D56" s="593"/>
      <c r="E56" s="596"/>
      <c r="F56" s="596"/>
      <c r="G56" s="584" t="e">
        <f t="shared" si="8"/>
        <v>#N/A</v>
      </c>
      <c r="H56" s="600"/>
      <c r="I56" s="585">
        <f t="shared" si="2"/>
        <v>0</v>
      </c>
      <c r="J56" s="586" t="e">
        <f t="shared" si="3"/>
        <v>#DIV/0!</v>
      </c>
      <c r="K56" s="587" t="e">
        <f t="shared" si="4"/>
        <v>#N/A</v>
      </c>
      <c r="L56" s="587">
        <f t="shared" si="5"/>
        <v>0</v>
      </c>
      <c r="M56" s="588" t="e">
        <f t="shared" si="0"/>
        <v>#N/A</v>
      </c>
      <c r="N56" s="589" t="e">
        <f t="shared" si="1"/>
        <v>#N/A</v>
      </c>
      <c r="O56" s="589">
        <f t="shared" si="6"/>
        <v>0</v>
      </c>
      <c r="P56" s="66">
        <f t="shared" si="7"/>
      </c>
    </row>
    <row r="57" spans="1:16" ht="12.75">
      <c r="A57" s="590"/>
      <c r="B57" s="592"/>
      <c r="C57" s="593"/>
      <c r="D57" s="593"/>
      <c r="E57" s="596"/>
      <c r="F57" s="596"/>
      <c r="G57" s="584" t="e">
        <f t="shared" si="8"/>
        <v>#N/A</v>
      </c>
      <c r="H57" s="600"/>
      <c r="I57" s="585">
        <f t="shared" si="2"/>
        <v>0</v>
      </c>
      <c r="J57" s="586" t="e">
        <f t="shared" si="3"/>
        <v>#DIV/0!</v>
      </c>
      <c r="K57" s="587" t="e">
        <f t="shared" si="4"/>
        <v>#N/A</v>
      </c>
      <c r="L57" s="587">
        <f t="shared" si="5"/>
        <v>0</v>
      </c>
      <c r="M57" s="588" t="e">
        <f t="shared" si="0"/>
        <v>#N/A</v>
      </c>
      <c r="N57" s="589" t="e">
        <f t="shared" si="1"/>
        <v>#N/A</v>
      </c>
      <c r="O57" s="589">
        <f t="shared" si="6"/>
        <v>0</v>
      </c>
      <c r="P57" s="66">
        <f t="shared" si="7"/>
      </c>
    </row>
    <row r="58" spans="1:16" ht="12.75">
      <c r="A58" s="590"/>
      <c r="B58" s="592"/>
      <c r="C58" s="593"/>
      <c r="D58" s="593"/>
      <c r="E58" s="596"/>
      <c r="F58" s="596"/>
      <c r="G58" s="584" t="e">
        <f t="shared" si="8"/>
        <v>#N/A</v>
      </c>
      <c r="H58" s="600"/>
      <c r="I58" s="585">
        <f t="shared" si="2"/>
        <v>0</v>
      </c>
      <c r="J58" s="586" t="e">
        <f t="shared" si="3"/>
        <v>#DIV/0!</v>
      </c>
      <c r="K58" s="587" t="e">
        <f t="shared" si="4"/>
        <v>#N/A</v>
      </c>
      <c r="L58" s="587">
        <f t="shared" si="5"/>
        <v>0</v>
      </c>
      <c r="M58" s="588" t="e">
        <f t="shared" si="0"/>
        <v>#N/A</v>
      </c>
      <c r="N58" s="589" t="e">
        <f t="shared" si="1"/>
        <v>#N/A</v>
      </c>
      <c r="O58" s="589">
        <f t="shared" si="6"/>
        <v>0</v>
      </c>
      <c r="P58" s="66">
        <f t="shared" si="7"/>
      </c>
    </row>
    <row r="59" spans="1:16" ht="12.75">
      <c r="A59" s="590"/>
      <c r="B59" s="592"/>
      <c r="C59" s="593"/>
      <c r="D59" s="593"/>
      <c r="E59" s="596"/>
      <c r="F59" s="596"/>
      <c r="G59" s="584" t="e">
        <f t="shared" si="8"/>
        <v>#N/A</v>
      </c>
      <c r="H59" s="600"/>
      <c r="I59" s="585">
        <f t="shared" si="2"/>
        <v>0</v>
      </c>
      <c r="J59" s="586" t="e">
        <f t="shared" si="3"/>
        <v>#DIV/0!</v>
      </c>
      <c r="K59" s="587" t="e">
        <f t="shared" si="4"/>
        <v>#N/A</v>
      </c>
      <c r="L59" s="587">
        <f t="shared" si="5"/>
        <v>0</v>
      </c>
      <c r="M59" s="588" t="e">
        <f t="shared" si="0"/>
        <v>#N/A</v>
      </c>
      <c r="N59" s="589" t="e">
        <f t="shared" si="1"/>
        <v>#N/A</v>
      </c>
      <c r="O59" s="589">
        <f t="shared" si="6"/>
        <v>0</v>
      </c>
      <c r="P59" s="66">
        <f t="shared" si="7"/>
      </c>
    </row>
    <row r="60" spans="1:16" ht="12.75">
      <c r="A60" s="590"/>
      <c r="B60" s="592"/>
      <c r="C60" s="599"/>
      <c r="D60" s="593"/>
      <c r="E60" s="596"/>
      <c r="F60" s="596"/>
      <c r="G60" s="584" t="e">
        <f t="shared" si="8"/>
        <v>#N/A</v>
      </c>
      <c r="H60" s="600"/>
      <c r="I60" s="585">
        <f t="shared" si="2"/>
        <v>0</v>
      </c>
      <c r="J60" s="586" t="e">
        <f t="shared" si="3"/>
        <v>#DIV/0!</v>
      </c>
      <c r="K60" s="587" t="e">
        <f t="shared" si="4"/>
        <v>#N/A</v>
      </c>
      <c r="L60" s="587">
        <f t="shared" si="5"/>
        <v>0</v>
      </c>
      <c r="M60" s="588" t="e">
        <f t="shared" si="0"/>
        <v>#N/A</v>
      </c>
      <c r="N60" s="589" t="e">
        <f t="shared" si="1"/>
        <v>#N/A</v>
      </c>
      <c r="O60" s="589">
        <f t="shared" si="6"/>
        <v>0</v>
      </c>
      <c r="P60" s="66">
        <f t="shared" si="7"/>
      </c>
    </row>
    <row r="61" spans="1:16" ht="12.75">
      <c r="A61" s="590"/>
      <c r="B61" s="592"/>
      <c r="C61" s="593"/>
      <c r="D61" s="593"/>
      <c r="E61" s="596"/>
      <c r="F61" s="596"/>
      <c r="G61" s="584" t="e">
        <f t="shared" si="8"/>
        <v>#N/A</v>
      </c>
      <c r="H61" s="600"/>
      <c r="I61" s="585">
        <f t="shared" si="2"/>
        <v>0</v>
      </c>
      <c r="J61" s="586" t="e">
        <f t="shared" si="3"/>
        <v>#DIV/0!</v>
      </c>
      <c r="K61" s="587" t="e">
        <f t="shared" si="4"/>
        <v>#N/A</v>
      </c>
      <c r="L61" s="587">
        <f t="shared" si="5"/>
        <v>0</v>
      </c>
      <c r="M61" s="588" t="e">
        <f t="shared" si="0"/>
        <v>#N/A</v>
      </c>
      <c r="N61" s="589" t="e">
        <f t="shared" si="1"/>
        <v>#N/A</v>
      </c>
      <c r="O61" s="589">
        <f t="shared" si="6"/>
        <v>0</v>
      </c>
      <c r="P61" s="66">
        <f t="shared" si="7"/>
      </c>
    </row>
    <row r="62" spans="1:16" ht="12.75">
      <c r="A62" s="590"/>
      <c r="B62" s="592"/>
      <c r="C62" s="593"/>
      <c r="D62" s="593"/>
      <c r="E62" s="596"/>
      <c r="F62" s="596"/>
      <c r="G62" s="584" t="e">
        <f t="shared" si="8"/>
        <v>#N/A</v>
      </c>
      <c r="H62" s="600"/>
      <c r="I62" s="585">
        <f t="shared" si="2"/>
        <v>0</v>
      </c>
      <c r="J62" s="586" t="e">
        <f t="shared" si="3"/>
        <v>#DIV/0!</v>
      </c>
      <c r="K62" s="587" t="e">
        <f t="shared" si="4"/>
        <v>#N/A</v>
      </c>
      <c r="L62" s="587">
        <f t="shared" si="5"/>
        <v>0</v>
      </c>
      <c r="M62" s="588" t="e">
        <f t="shared" si="0"/>
        <v>#N/A</v>
      </c>
      <c r="N62" s="589" t="e">
        <f t="shared" si="1"/>
        <v>#N/A</v>
      </c>
      <c r="O62" s="589">
        <f t="shared" si="6"/>
        <v>0</v>
      </c>
      <c r="P62" s="66">
        <f t="shared" si="7"/>
      </c>
    </row>
    <row r="63" spans="1:16" ht="12.75">
      <c r="A63" s="590"/>
      <c r="B63" s="592"/>
      <c r="C63" s="593"/>
      <c r="D63" s="593"/>
      <c r="E63" s="596"/>
      <c r="F63" s="596"/>
      <c r="G63" s="584" t="e">
        <f t="shared" si="8"/>
        <v>#N/A</v>
      </c>
      <c r="H63" s="600"/>
      <c r="I63" s="585">
        <f t="shared" si="2"/>
        <v>0</v>
      </c>
      <c r="J63" s="586" t="e">
        <f t="shared" si="3"/>
        <v>#DIV/0!</v>
      </c>
      <c r="K63" s="587" t="e">
        <f t="shared" si="4"/>
        <v>#N/A</v>
      </c>
      <c r="L63" s="587">
        <f t="shared" si="5"/>
        <v>0</v>
      </c>
      <c r="M63" s="588" t="e">
        <f t="shared" si="0"/>
        <v>#N/A</v>
      </c>
      <c r="N63" s="589" t="e">
        <f t="shared" si="1"/>
        <v>#N/A</v>
      </c>
      <c r="O63" s="589">
        <f t="shared" si="6"/>
        <v>0</v>
      </c>
      <c r="P63" s="66">
        <f t="shared" si="7"/>
      </c>
    </row>
    <row r="64" spans="1:16" ht="12.75">
      <c r="A64" s="590"/>
      <c r="B64" s="592"/>
      <c r="C64" s="593"/>
      <c r="D64" s="593"/>
      <c r="E64" s="596"/>
      <c r="F64" s="596"/>
      <c r="G64" s="584" t="e">
        <f t="shared" si="8"/>
        <v>#N/A</v>
      </c>
      <c r="H64" s="600"/>
      <c r="I64" s="585">
        <f t="shared" si="2"/>
        <v>0</v>
      </c>
      <c r="J64" s="586" t="e">
        <f t="shared" si="3"/>
        <v>#DIV/0!</v>
      </c>
      <c r="K64" s="587" t="e">
        <f t="shared" si="4"/>
        <v>#N/A</v>
      </c>
      <c r="L64" s="587">
        <f t="shared" si="5"/>
        <v>0</v>
      </c>
      <c r="M64" s="588" t="e">
        <f t="shared" si="0"/>
        <v>#N/A</v>
      </c>
      <c r="N64" s="589" t="e">
        <f t="shared" si="1"/>
        <v>#N/A</v>
      </c>
      <c r="O64" s="589">
        <f t="shared" si="6"/>
        <v>0</v>
      </c>
      <c r="P64" s="66">
        <f t="shared" si="7"/>
      </c>
    </row>
    <row r="65" spans="1:16" ht="12.75">
      <c r="A65" s="590"/>
      <c r="B65" s="592"/>
      <c r="C65" s="593"/>
      <c r="D65" s="593"/>
      <c r="E65" s="596"/>
      <c r="F65" s="596"/>
      <c r="G65" s="584" t="e">
        <f t="shared" si="8"/>
        <v>#N/A</v>
      </c>
      <c r="H65" s="600"/>
      <c r="I65" s="585">
        <f t="shared" si="2"/>
        <v>0</v>
      </c>
      <c r="J65" s="586" t="e">
        <f t="shared" si="3"/>
        <v>#DIV/0!</v>
      </c>
      <c r="K65" s="587" t="e">
        <f t="shared" si="4"/>
        <v>#N/A</v>
      </c>
      <c r="L65" s="587">
        <f t="shared" si="5"/>
        <v>0</v>
      </c>
      <c r="M65" s="588" t="e">
        <f t="shared" si="0"/>
        <v>#N/A</v>
      </c>
      <c r="N65" s="589" t="e">
        <f t="shared" si="1"/>
        <v>#N/A</v>
      </c>
      <c r="O65" s="589">
        <f t="shared" si="6"/>
        <v>0</v>
      </c>
      <c r="P65" s="66">
        <f t="shared" si="7"/>
      </c>
    </row>
    <row r="66" spans="1:16" ht="12.75">
      <c r="A66" s="590"/>
      <c r="B66" s="592"/>
      <c r="C66" s="599"/>
      <c r="D66" s="593"/>
      <c r="E66" s="596"/>
      <c r="F66" s="596"/>
      <c r="G66" s="584" t="e">
        <f t="shared" si="8"/>
        <v>#N/A</v>
      </c>
      <c r="H66" s="600"/>
      <c r="I66" s="585">
        <f t="shared" si="2"/>
        <v>0</v>
      </c>
      <c r="J66" s="586" t="e">
        <f t="shared" si="3"/>
        <v>#DIV/0!</v>
      </c>
      <c r="K66" s="587" t="e">
        <f t="shared" si="4"/>
        <v>#N/A</v>
      </c>
      <c r="L66" s="587">
        <f t="shared" si="5"/>
        <v>0</v>
      </c>
      <c r="M66" s="588" t="e">
        <f t="shared" si="0"/>
        <v>#N/A</v>
      </c>
      <c r="N66" s="589" t="e">
        <f t="shared" si="1"/>
        <v>#N/A</v>
      </c>
      <c r="O66" s="589">
        <f t="shared" si="6"/>
        <v>0</v>
      </c>
      <c r="P66" s="66">
        <f t="shared" si="7"/>
      </c>
    </row>
    <row r="67" spans="1:16" ht="12.75">
      <c r="A67" s="590"/>
      <c r="B67" s="592"/>
      <c r="C67" s="593"/>
      <c r="D67" s="593"/>
      <c r="E67" s="596"/>
      <c r="F67" s="596"/>
      <c r="G67" s="584" t="e">
        <f t="shared" si="8"/>
        <v>#N/A</v>
      </c>
      <c r="H67" s="600"/>
      <c r="I67" s="585">
        <f t="shared" si="2"/>
        <v>0</v>
      </c>
      <c r="J67" s="586" t="e">
        <f t="shared" si="3"/>
        <v>#DIV/0!</v>
      </c>
      <c r="K67" s="587" t="e">
        <f t="shared" si="4"/>
        <v>#N/A</v>
      </c>
      <c r="L67" s="587">
        <f t="shared" si="5"/>
        <v>0</v>
      </c>
      <c r="M67" s="588" t="e">
        <f t="shared" si="0"/>
        <v>#N/A</v>
      </c>
      <c r="N67" s="589" t="e">
        <f t="shared" si="1"/>
        <v>#N/A</v>
      </c>
      <c r="O67" s="589">
        <f t="shared" si="6"/>
        <v>0</v>
      </c>
      <c r="P67" s="66">
        <f t="shared" si="7"/>
      </c>
    </row>
    <row r="68" spans="1:16" ht="12.75">
      <c r="A68" s="590"/>
      <c r="B68" s="592"/>
      <c r="C68" s="593"/>
      <c r="D68" s="593"/>
      <c r="E68" s="596"/>
      <c r="F68" s="596"/>
      <c r="G68" s="584" t="e">
        <f t="shared" si="8"/>
        <v>#N/A</v>
      </c>
      <c r="H68" s="600"/>
      <c r="I68" s="585">
        <f t="shared" si="2"/>
        <v>0</v>
      </c>
      <c r="J68" s="586" t="e">
        <f t="shared" si="3"/>
        <v>#DIV/0!</v>
      </c>
      <c r="K68" s="587" t="e">
        <f t="shared" si="4"/>
        <v>#N/A</v>
      </c>
      <c r="L68" s="587">
        <f t="shared" si="5"/>
        <v>0</v>
      </c>
      <c r="M68" s="588" t="e">
        <f t="shared" si="0"/>
        <v>#N/A</v>
      </c>
      <c r="N68" s="589" t="e">
        <f t="shared" si="1"/>
        <v>#N/A</v>
      </c>
      <c r="O68" s="589">
        <f t="shared" si="6"/>
        <v>0</v>
      </c>
      <c r="P68" s="66">
        <f t="shared" si="7"/>
      </c>
    </row>
    <row r="69" spans="1:16" ht="12.75">
      <c r="A69" s="590"/>
      <c r="B69" s="592"/>
      <c r="C69" s="593"/>
      <c r="D69" s="593"/>
      <c r="E69" s="596"/>
      <c r="F69" s="596"/>
      <c r="G69" s="584" t="e">
        <f t="shared" si="8"/>
        <v>#N/A</v>
      </c>
      <c r="H69" s="600"/>
      <c r="I69" s="585">
        <f t="shared" si="2"/>
        <v>0</v>
      </c>
      <c r="J69" s="586" t="e">
        <f t="shared" si="3"/>
        <v>#DIV/0!</v>
      </c>
      <c r="K69" s="587" t="e">
        <f t="shared" si="4"/>
        <v>#N/A</v>
      </c>
      <c r="L69" s="587">
        <f t="shared" si="5"/>
        <v>0</v>
      </c>
      <c r="M69" s="588" t="e">
        <f t="shared" si="0"/>
        <v>#N/A</v>
      </c>
      <c r="N69" s="589" t="e">
        <f t="shared" si="1"/>
        <v>#N/A</v>
      </c>
      <c r="O69" s="589">
        <f t="shared" si="6"/>
        <v>0</v>
      </c>
      <c r="P69" s="66">
        <f t="shared" si="7"/>
      </c>
    </row>
    <row r="70" spans="1:16" ht="12.75">
      <c r="A70" s="590"/>
      <c r="B70" s="592"/>
      <c r="C70" s="593"/>
      <c r="D70" s="593"/>
      <c r="E70" s="596"/>
      <c r="F70" s="596"/>
      <c r="G70" s="584" t="e">
        <f t="shared" si="8"/>
        <v>#N/A</v>
      </c>
      <c r="H70" s="600"/>
      <c r="I70" s="585">
        <f t="shared" si="2"/>
        <v>0</v>
      </c>
      <c r="J70" s="586" t="e">
        <f t="shared" si="3"/>
        <v>#DIV/0!</v>
      </c>
      <c r="K70" s="587" t="e">
        <f t="shared" si="4"/>
        <v>#N/A</v>
      </c>
      <c r="L70" s="587">
        <f t="shared" si="5"/>
        <v>0</v>
      </c>
      <c r="M70" s="588" t="e">
        <f t="shared" si="0"/>
        <v>#N/A</v>
      </c>
      <c r="N70" s="589" t="e">
        <f t="shared" si="1"/>
        <v>#N/A</v>
      </c>
      <c r="O70" s="589">
        <f t="shared" si="6"/>
        <v>0</v>
      </c>
      <c r="P70" s="66">
        <f t="shared" si="7"/>
      </c>
    </row>
    <row r="71" spans="1:16" ht="12.75">
      <c r="A71" s="590"/>
      <c r="B71" s="592"/>
      <c r="C71" s="593"/>
      <c r="D71" s="593"/>
      <c r="E71" s="596"/>
      <c r="F71" s="596"/>
      <c r="G71" s="584" t="e">
        <f t="shared" si="8"/>
        <v>#N/A</v>
      </c>
      <c r="H71" s="600"/>
      <c r="I71" s="585">
        <f t="shared" si="2"/>
        <v>0</v>
      </c>
      <c r="J71" s="586" t="e">
        <f t="shared" si="3"/>
        <v>#DIV/0!</v>
      </c>
      <c r="K71" s="587" t="e">
        <f t="shared" si="4"/>
        <v>#N/A</v>
      </c>
      <c r="L71" s="587">
        <f t="shared" si="5"/>
        <v>0</v>
      </c>
      <c r="M71" s="588" t="e">
        <f t="shared" si="0"/>
        <v>#N/A</v>
      </c>
      <c r="N71" s="589" t="e">
        <f t="shared" si="1"/>
        <v>#N/A</v>
      </c>
      <c r="O71" s="589">
        <f t="shared" si="6"/>
        <v>0</v>
      </c>
      <c r="P71" s="66">
        <f t="shared" si="7"/>
      </c>
    </row>
    <row r="72" spans="1:16" ht="12.75">
      <c r="A72" s="590"/>
      <c r="B72" s="592"/>
      <c r="C72" s="599"/>
      <c r="D72" s="593"/>
      <c r="E72" s="596"/>
      <c r="F72" s="596"/>
      <c r="G72" s="584" t="e">
        <f t="shared" si="8"/>
        <v>#N/A</v>
      </c>
      <c r="H72" s="600"/>
      <c r="I72" s="585">
        <f t="shared" si="2"/>
        <v>0</v>
      </c>
      <c r="J72" s="586" t="e">
        <f t="shared" si="3"/>
        <v>#DIV/0!</v>
      </c>
      <c r="K72" s="587" t="e">
        <f t="shared" si="4"/>
        <v>#N/A</v>
      </c>
      <c r="L72" s="587">
        <f t="shared" si="5"/>
        <v>0</v>
      </c>
      <c r="M72" s="588" t="e">
        <f t="shared" si="0"/>
        <v>#N/A</v>
      </c>
      <c r="N72" s="589" t="e">
        <f t="shared" si="1"/>
        <v>#N/A</v>
      </c>
      <c r="O72" s="589">
        <f t="shared" si="6"/>
        <v>0</v>
      </c>
      <c r="P72" s="66">
        <f t="shared" si="7"/>
      </c>
    </row>
    <row r="73" spans="1:16" ht="12" customHeight="1">
      <c r="A73" s="590"/>
      <c r="B73" s="592"/>
      <c r="C73" s="593"/>
      <c r="D73" s="593"/>
      <c r="E73" s="596"/>
      <c r="F73" s="596"/>
      <c r="G73" s="584" t="e">
        <f t="shared" si="8"/>
        <v>#N/A</v>
      </c>
      <c r="H73" s="600"/>
      <c r="I73" s="585">
        <f t="shared" si="2"/>
        <v>0</v>
      </c>
      <c r="J73" s="586" t="e">
        <f t="shared" si="3"/>
        <v>#DIV/0!</v>
      </c>
      <c r="K73" s="587" t="e">
        <f t="shared" si="4"/>
        <v>#N/A</v>
      </c>
      <c r="L73" s="587">
        <f t="shared" si="5"/>
        <v>0</v>
      </c>
      <c r="M73" s="588" t="e">
        <f t="shared" si="0"/>
        <v>#N/A</v>
      </c>
      <c r="N73" s="589" t="e">
        <f t="shared" si="1"/>
        <v>#N/A</v>
      </c>
      <c r="O73" s="589">
        <f t="shared" si="6"/>
        <v>0</v>
      </c>
      <c r="P73" s="66">
        <f t="shared" si="7"/>
      </c>
    </row>
    <row r="74" spans="1:16" ht="12.75">
      <c r="A74" s="590"/>
      <c r="B74" s="592"/>
      <c r="C74" s="593"/>
      <c r="D74" s="593"/>
      <c r="E74" s="596"/>
      <c r="F74" s="596"/>
      <c r="G74" s="584" t="e">
        <f t="shared" si="8"/>
        <v>#N/A</v>
      </c>
      <c r="H74" s="600"/>
      <c r="I74" s="585">
        <f t="shared" si="2"/>
        <v>0</v>
      </c>
      <c r="J74" s="586" t="e">
        <f t="shared" si="3"/>
        <v>#DIV/0!</v>
      </c>
      <c r="K74" s="587" t="e">
        <f t="shared" si="4"/>
        <v>#N/A</v>
      </c>
      <c r="L74" s="587">
        <f t="shared" si="5"/>
        <v>0</v>
      </c>
      <c r="M74" s="588" t="e">
        <f t="shared" si="0"/>
        <v>#N/A</v>
      </c>
      <c r="N74" s="589" t="e">
        <f t="shared" si="1"/>
        <v>#N/A</v>
      </c>
      <c r="O74" s="589">
        <f t="shared" si="6"/>
        <v>0</v>
      </c>
      <c r="P74" s="66">
        <f t="shared" si="7"/>
      </c>
    </row>
    <row r="75" spans="1:16" ht="12.75">
      <c r="A75" s="590"/>
      <c r="B75" s="592"/>
      <c r="C75" s="593"/>
      <c r="D75" s="593"/>
      <c r="E75" s="596"/>
      <c r="F75" s="596"/>
      <c r="G75" s="584" t="e">
        <f t="shared" si="8"/>
        <v>#N/A</v>
      </c>
      <c r="H75" s="600"/>
      <c r="I75" s="585">
        <f t="shared" si="2"/>
        <v>0</v>
      </c>
      <c r="J75" s="586" t="e">
        <f t="shared" si="3"/>
        <v>#DIV/0!</v>
      </c>
      <c r="K75" s="587" t="e">
        <f t="shared" si="4"/>
        <v>#N/A</v>
      </c>
      <c r="L75" s="587">
        <f t="shared" si="5"/>
        <v>0</v>
      </c>
      <c r="M75" s="588" t="e">
        <f t="shared" si="0"/>
        <v>#N/A</v>
      </c>
      <c r="N75" s="589" t="e">
        <f t="shared" si="1"/>
        <v>#N/A</v>
      </c>
      <c r="O75" s="589">
        <f t="shared" si="6"/>
        <v>0</v>
      </c>
      <c r="P75" s="66">
        <f t="shared" si="7"/>
      </c>
    </row>
    <row r="76" spans="1:16" ht="12.75">
      <c r="A76" s="590"/>
      <c r="B76" s="592"/>
      <c r="C76" s="593"/>
      <c r="D76" s="593"/>
      <c r="E76" s="596"/>
      <c r="F76" s="596"/>
      <c r="G76" s="584" t="e">
        <f t="shared" si="8"/>
        <v>#N/A</v>
      </c>
      <c r="H76" s="600"/>
      <c r="I76" s="585">
        <f t="shared" si="2"/>
        <v>0</v>
      </c>
      <c r="J76" s="586" t="e">
        <f t="shared" si="3"/>
        <v>#DIV/0!</v>
      </c>
      <c r="K76" s="587" t="e">
        <f t="shared" si="4"/>
        <v>#N/A</v>
      </c>
      <c r="L76" s="587">
        <f t="shared" si="5"/>
        <v>0</v>
      </c>
      <c r="M76" s="588" t="e">
        <f t="shared" si="0"/>
        <v>#N/A</v>
      </c>
      <c r="N76" s="589" t="e">
        <f t="shared" si="1"/>
        <v>#N/A</v>
      </c>
      <c r="O76" s="589">
        <f t="shared" si="6"/>
        <v>0</v>
      </c>
      <c r="P76" s="66">
        <f t="shared" si="7"/>
      </c>
    </row>
    <row r="77" spans="1:16" ht="12.75">
      <c r="A77" s="462"/>
      <c r="B77" s="592"/>
      <c r="C77" s="593"/>
      <c r="D77" s="593"/>
      <c r="E77" s="596"/>
      <c r="F77" s="596"/>
      <c r="G77" s="584" t="e">
        <f t="shared" si="8"/>
        <v>#N/A</v>
      </c>
      <c r="H77" s="600"/>
      <c r="I77" s="585">
        <f t="shared" si="2"/>
        <v>0</v>
      </c>
      <c r="J77" s="586" t="e">
        <f t="shared" si="3"/>
        <v>#DIV/0!</v>
      </c>
      <c r="K77" s="587" t="e">
        <f t="shared" si="4"/>
        <v>#N/A</v>
      </c>
      <c r="L77" s="587">
        <f t="shared" si="5"/>
        <v>0</v>
      </c>
      <c r="M77" s="588" t="e">
        <f t="shared" si="0"/>
        <v>#N/A</v>
      </c>
      <c r="N77" s="589" t="e">
        <f t="shared" si="1"/>
        <v>#N/A</v>
      </c>
      <c r="O77" s="589">
        <f t="shared" si="6"/>
        <v>0</v>
      </c>
      <c r="P77" s="66">
        <f t="shared" si="7"/>
      </c>
    </row>
    <row r="78" spans="1:16" ht="12.75">
      <c r="A78" s="462"/>
      <c r="B78" s="592"/>
      <c r="C78" s="593"/>
      <c r="D78" s="593"/>
      <c r="E78" s="596"/>
      <c r="F78" s="596"/>
      <c r="G78" s="584" t="e">
        <f t="shared" si="8"/>
        <v>#N/A</v>
      </c>
      <c r="H78" s="600"/>
      <c r="I78" s="585">
        <f t="shared" si="2"/>
        <v>0</v>
      </c>
      <c r="J78" s="586" t="e">
        <f t="shared" si="3"/>
        <v>#DIV/0!</v>
      </c>
      <c r="K78" s="587" t="e">
        <f t="shared" si="4"/>
        <v>#N/A</v>
      </c>
      <c r="L78" s="587">
        <f t="shared" si="5"/>
        <v>0</v>
      </c>
      <c r="M78" s="588" t="e">
        <f t="shared" si="0"/>
        <v>#N/A</v>
      </c>
      <c r="N78" s="589" t="e">
        <f t="shared" si="1"/>
        <v>#N/A</v>
      </c>
      <c r="O78" s="589">
        <f t="shared" si="6"/>
        <v>0</v>
      </c>
      <c r="P78" s="66">
        <f t="shared" si="7"/>
      </c>
    </row>
    <row r="79" spans="1:16" ht="12.75">
      <c r="A79" s="591"/>
      <c r="B79" s="592"/>
      <c r="C79" s="593"/>
      <c r="D79" s="593"/>
      <c r="E79" s="596"/>
      <c r="F79" s="596"/>
      <c r="G79" s="584" t="e">
        <f t="shared" si="8"/>
        <v>#N/A</v>
      </c>
      <c r="H79" s="600"/>
      <c r="I79" s="585">
        <f t="shared" si="2"/>
        <v>0</v>
      </c>
      <c r="J79" s="586" t="e">
        <f t="shared" si="3"/>
        <v>#DIV/0!</v>
      </c>
      <c r="K79" s="587" t="e">
        <f t="shared" si="4"/>
        <v>#N/A</v>
      </c>
      <c r="L79" s="587">
        <f t="shared" si="5"/>
        <v>0</v>
      </c>
      <c r="M79" s="588" t="e">
        <f t="shared" si="0"/>
        <v>#N/A</v>
      </c>
      <c r="N79" s="589" t="e">
        <f t="shared" si="1"/>
        <v>#N/A</v>
      </c>
      <c r="O79" s="589">
        <f t="shared" si="6"/>
        <v>0</v>
      </c>
      <c r="P79" s="66">
        <f t="shared" si="7"/>
      </c>
    </row>
    <row r="80" spans="1:16" ht="12.75">
      <c r="A80" s="462"/>
      <c r="B80" s="592"/>
      <c r="C80" s="593"/>
      <c r="D80" s="593"/>
      <c r="E80" s="596"/>
      <c r="F80" s="596"/>
      <c r="G80" s="584" t="e">
        <f t="shared" si="8"/>
        <v>#N/A</v>
      </c>
      <c r="H80" s="600"/>
      <c r="I80" s="585">
        <f t="shared" si="2"/>
        <v>0</v>
      </c>
      <c r="J80" s="586" t="e">
        <f t="shared" si="3"/>
        <v>#DIV/0!</v>
      </c>
      <c r="K80" s="587" t="e">
        <f t="shared" si="4"/>
        <v>#N/A</v>
      </c>
      <c r="L80" s="587">
        <f t="shared" si="5"/>
        <v>0</v>
      </c>
      <c r="M80" s="588" t="e">
        <f t="shared" si="0"/>
        <v>#N/A</v>
      </c>
      <c r="N80" s="589" t="e">
        <f t="shared" si="1"/>
        <v>#N/A</v>
      </c>
      <c r="O80" s="589">
        <f t="shared" si="6"/>
        <v>0</v>
      </c>
      <c r="P80" s="66">
        <f t="shared" si="7"/>
      </c>
    </row>
    <row r="81" spans="1:16" ht="12.75">
      <c r="A81" s="462"/>
      <c r="B81" s="592"/>
      <c r="C81" s="593"/>
      <c r="D81" s="593"/>
      <c r="E81" s="596"/>
      <c r="F81" s="596"/>
      <c r="G81" s="584" t="e">
        <f t="shared" si="8"/>
        <v>#N/A</v>
      </c>
      <c r="H81" s="600"/>
      <c r="I81" s="585">
        <f t="shared" si="2"/>
        <v>0</v>
      </c>
      <c r="J81" s="586" t="e">
        <f t="shared" si="3"/>
        <v>#DIV/0!</v>
      </c>
      <c r="K81" s="587" t="e">
        <f t="shared" si="4"/>
        <v>#N/A</v>
      </c>
      <c r="L81" s="587">
        <f t="shared" si="5"/>
        <v>0</v>
      </c>
      <c r="M81" s="588" t="e">
        <f t="shared" si="0"/>
        <v>#N/A</v>
      </c>
      <c r="N81" s="589" t="e">
        <f t="shared" si="1"/>
        <v>#N/A</v>
      </c>
      <c r="O81" s="589">
        <f t="shared" si="6"/>
        <v>0</v>
      </c>
      <c r="P81" s="66">
        <f t="shared" si="7"/>
      </c>
    </row>
    <row r="82" spans="1:16" ht="12.75">
      <c r="A82" s="462"/>
      <c r="B82" s="592"/>
      <c r="C82" s="599"/>
      <c r="D82" s="593"/>
      <c r="E82" s="596"/>
      <c r="F82" s="596"/>
      <c r="G82" s="584" t="e">
        <f t="shared" si="8"/>
        <v>#N/A</v>
      </c>
      <c r="H82" s="600"/>
      <c r="I82" s="585">
        <f t="shared" si="2"/>
        <v>0</v>
      </c>
      <c r="J82" s="586" t="e">
        <f t="shared" si="3"/>
        <v>#DIV/0!</v>
      </c>
      <c r="K82" s="587" t="e">
        <f t="shared" si="4"/>
        <v>#N/A</v>
      </c>
      <c r="L82" s="587">
        <f t="shared" si="5"/>
        <v>0</v>
      </c>
      <c r="M82" s="588" t="e">
        <f t="shared" si="0"/>
        <v>#N/A</v>
      </c>
      <c r="N82" s="589" t="e">
        <f t="shared" si="1"/>
        <v>#N/A</v>
      </c>
      <c r="O82" s="589">
        <f t="shared" si="6"/>
        <v>0</v>
      </c>
      <c r="P82" s="66">
        <f t="shared" si="7"/>
      </c>
    </row>
    <row r="83" spans="1:16" ht="12.75">
      <c r="A83" s="462"/>
      <c r="B83" s="592"/>
      <c r="C83" s="593"/>
      <c r="D83" s="593"/>
      <c r="E83" s="596"/>
      <c r="F83" s="596"/>
      <c r="G83" s="584" t="e">
        <f t="shared" si="8"/>
        <v>#N/A</v>
      </c>
      <c r="H83" s="600"/>
      <c r="I83" s="585">
        <f t="shared" si="2"/>
        <v>0</v>
      </c>
      <c r="J83" s="586" t="e">
        <f t="shared" si="3"/>
        <v>#DIV/0!</v>
      </c>
      <c r="K83" s="587" t="e">
        <f t="shared" si="4"/>
        <v>#N/A</v>
      </c>
      <c r="L83" s="587">
        <f t="shared" si="5"/>
        <v>0</v>
      </c>
      <c r="M83" s="588" t="e">
        <f t="shared" si="0"/>
        <v>#N/A</v>
      </c>
      <c r="N83" s="589" t="e">
        <f t="shared" si="1"/>
        <v>#N/A</v>
      </c>
      <c r="O83" s="589">
        <f t="shared" si="6"/>
        <v>0</v>
      </c>
      <c r="P83" s="66">
        <f t="shared" si="7"/>
      </c>
    </row>
    <row r="84" spans="1:16" ht="12.75">
      <c r="A84" s="462"/>
      <c r="B84" s="592"/>
      <c r="C84" s="593"/>
      <c r="D84" s="593"/>
      <c r="E84" s="596"/>
      <c r="F84" s="596"/>
      <c r="G84" s="584" t="e">
        <f t="shared" si="8"/>
        <v>#N/A</v>
      </c>
      <c r="H84" s="600"/>
      <c r="I84" s="585">
        <f t="shared" si="2"/>
        <v>0</v>
      </c>
      <c r="J84" s="586" t="e">
        <f t="shared" si="3"/>
        <v>#DIV/0!</v>
      </c>
      <c r="K84" s="587" t="e">
        <f t="shared" si="4"/>
        <v>#N/A</v>
      </c>
      <c r="L84" s="587">
        <f t="shared" si="5"/>
        <v>0</v>
      </c>
      <c r="M84" s="588" t="e">
        <f t="shared" si="0"/>
        <v>#N/A</v>
      </c>
      <c r="N84" s="589" t="e">
        <f t="shared" si="1"/>
        <v>#N/A</v>
      </c>
      <c r="O84" s="589">
        <f t="shared" si="6"/>
        <v>0</v>
      </c>
      <c r="P84" s="66">
        <f t="shared" si="7"/>
      </c>
    </row>
    <row r="85" spans="1:16" ht="12.75">
      <c r="A85" s="462"/>
      <c r="B85" s="592"/>
      <c r="C85" s="599"/>
      <c r="D85" s="593"/>
      <c r="E85" s="596"/>
      <c r="F85" s="596"/>
      <c r="G85" s="584" t="e">
        <f t="shared" si="8"/>
        <v>#N/A</v>
      </c>
      <c r="H85" s="600"/>
      <c r="I85" s="585">
        <f t="shared" si="2"/>
        <v>0</v>
      </c>
      <c r="J85" s="586" t="e">
        <f t="shared" si="3"/>
        <v>#DIV/0!</v>
      </c>
      <c r="K85" s="587" t="e">
        <f t="shared" si="4"/>
        <v>#N/A</v>
      </c>
      <c r="L85" s="587">
        <f t="shared" si="5"/>
        <v>0</v>
      </c>
      <c r="M85" s="588" t="e">
        <f t="shared" si="0"/>
        <v>#N/A</v>
      </c>
      <c r="N85" s="589" t="e">
        <f t="shared" si="1"/>
        <v>#N/A</v>
      </c>
      <c r="O85" s="589">
        <f t="shared" si="6"/>
        <v>0</v>
      </c>
      <c r="P85" s="66">
        <f t="shared" si="7"/>
      </c>
    </row>
    <row r="86" spans="1:16" ht="12.75">
      <c r="A86" s="462"/>
      <c r="B86" s="592"/>
      <c r="C86" s="593"/>
      <c r="D86" s="593"/>
      <c r="E86" s="596"/>
      <c r="F86" s="596"/>
      <c r="G86" s="584" t="e">
        <f t="shared" si="8"/>
        <v>#N/A</v>
      </c>
      <c r="H86" s="600"/>
      <c r="I86" s="585">
        <f t="shared" si="2"/>
        <v>0</v>
      </c>
      <c r="J86" s="586" t="e">
        <f t="shared" si="3"/>
        <v>#DIV/0!</v>
      </c>
      <c r="K86" s="587" t="e">
        <f t="shared" si="4"/>
        <v>#N/A</v>
      </c>
      <c r="L86" s="587">
        <f t="shared" si="5"/>
        <v>0</v>
      </c>
      <c r="M86" s="588" t="e">
        <f t="shared" si="0"/>
        <v>#N/A</v>
      </c>
      <c r="N86" s="589" t="e">
        <f t="shared" si="1"/>
        <v>#N/A</v>
      </c>
      <c r="O86" s="589">
        <f t="shared" si="6"/>
        <v>0</v>
      </c>
      <c r="P86" s="66">
        <f t="shared" si="7"/>
      </c>
    </row>
    <row r="87" spans="1:16" ht="12.75">
      <c r="A87" s="462"/>
      <c r="B87" s="592"/>
      <c r="C87" s="599"/>
      <c r="D87" s="593"/>
      <c r="E87" s="596"/>
      <c r="F87" s="596"/>
      <c r="G87" s="584" t="e">
        <f t="shared" si="8"/>
        <v>#N/A</v>
      </c>
      <c r="H87" s="600"/>
      <c r="I87" s="585">
        <f t="shared" si="2"/>
        <v>0</v>
      </c>
      <c r="J87" s="586" t="e">
        <f t="shared" si="3"/>
        <v>#DIV/0!</v>
      </c>
      <c r="K87" s="587" t="e">
        <f t="shared" si="4"/>
        <v>#N/A</v>
      </c>
      <c r="L87" s="587">
        <f t="shared" si="5"/>
        <v>0</v>
      </c>
      <c r="M87" s="588" t="e">
        <f t="shared" si="0"/>
        <v>#N/A</v>
      </c>
      <c r="N87" s="589" t="e">
        <f t="shared" si="1"/>
        <v>#N/A</v>
      </c>
      <c r="O87" s="589">
        <f t="shared" si="6"/>
        <v>0</v>
      </c>
      <c r="P87" s="66">
        <f t="shared" si="7"/>
      </c>
    </row>
    <row r="88" spans="1:16" ht="12.75">
      <c r="A88" s="462"/>
      <c r="B88" s="592"/>
      <c r="C88" s="593"/>
      <c r="D88" s="593"/>
      <c r="E88" s="596"/>
      <c r="F88" s="596"/>
      <c r="G88" s="584" t="e">
        <f t="shared" si="8"/>
        <v>#N/A</v>
      </c>
      <c r="H88" s="600"/>
      <c r="I88" s="585">
        <f t="shared" si="2"/>
        <v>0</v>
      </c>
      <c r="J88" s="586" t="e">
        <f t="shared" si="3"/>
        <v>#DIV/0!</v>
      </c>
      <c r="K88" s="587" t="e">
        <f t="shared" si="4"/>
        <v>#N/A</v>
      </c>
      <c r="L88" s="587">
        <f t="shared" si="5"/>
        <v>0</v>
      </c>
      <c r="M88" s="588" t="e">
        <f t="shared" si="0"/>
        <v>#N/A</v>
      </c>
      <c r="N88" s="589" t="e">
        <f t="shared" si="1"/>
        <v>#N/A</v>
      </c>
      <c r="O88" s="589">
        <f t="shared" si="6"/>
        <v>0</v>
      </c>
      <c r="P88" s="66">
        <f t="shared" si="7"/>
      </c>
    </row>
    <row r="89" spans="1:16" ht="12.75">
      <c r="A89" s="591"/>
      <c r="B89" s="592"/>
      <c r="C89" s="593"/>
      <c r="D89" s="593"/>
      <c r="E89" s="596"/>
      <c r="F89" s="596"/>
      <c r="G89" s="584" t="e">
        <f t="shared" si="8"/>
        <v>#N/A</v>
      </c>
      <c r="H89" s="600"/>
      <c r="I89" s="585">
        <f t="shared" si="2"/>
        <v>0</v>
      </c>
      <c r="J89" s="586" t="e">
        <f t="shared" si="3"/>
        <v>#DIV/0!</v>
      </c>
      <c r="K89" s="587" t="e">
        <f t="shared" si="4"/>
        <v>#N/A</v>
      </c>
      <c r="L89" s="587">
        <f t="shared" si="5"/>
        <v>0</v>
      </c>
      <c r="M89" s="588" t="e">
        <f t="shared" si="0"/>
        <v>#N/A</v>
      </c>
      <c r="N89" s="589" t="e">
        <f t="shared" si="1"/>
        <v>#N/A</v>
      </c>
      <c r="O89" s="589">
        <f t="shared" si="6"/>
        <v>0</v>
      </c>
      <c r="P89" s="66">
        <f t="shared" si="7"/>
      </c>
    </row>
    <row r="90" spans="1:16" ht="12.75">
      <c r="A90" s="462"/>
      <c r="B90" s="592"/>
      <c r="C90" s="593"/>
      <c r="D90" s="593"/>
      <c r="E90" s="596"/>
      <c r="F90" s="596"/>
      <c r="G90" s="584" t="e">
        <f t="shared" si="8"/>
        <v>#N/A</v>
      </c>
      <c r="H90" s="600"/>
      <c r="I90" s="585">
        <f t="shared" si="2"/>
        <v>0</v>
      </c>
      <c r="J90" s="586" t="e">
        <f t="shared" si="3"/>
        <v>#DIV/0!</v>
      </c>
      <c r="K90" s="587" t="e">
        <f t="shared" si="4"/>
        <v>#N/A</v>
      </c>
      <c r="L90" s="587">
        <f t="shared" si="5"/>
        <v>0</v>
      </c>
      <c r="M90" s="588" t="e">
        <f t="shared" si="0"/>
        <v>#N/A</v>
      </c>
      <c r="N90" s="589" t="e">
        <f t="shared" si="1"/>
        <v>#N/A</v>
      </c>
      <c r="O90" s="589">
        <f t="shared" si="6"/>
        <v>0</v>
      </c>
      <c r="P90" s="66">
        <f t="shared" si="7"/>
      </c>
    </row>
    <row r="91" spans="1:16" ht="12.75">
      <c r="A91" s="462"/>
      <c r="B91" s="592"/>
      <c r="C91" s="593"/>
      <c r="D91" s="593"/>
      <c r="E91" s="596"/>
      <c r="F91" s="596"/>
      <c r="G91" s="584" t="e">
        <f t="shared" si="8"/>
        <v>#N/A</v>
      </c>
      <c r="H91" s="600"/>
      <c r="I91" s="585">
        <f t="shared" si="2"/>
        <v>0</v>
      </c>
      <c r="J91" s="586" t="e">
        <f t="shared" si="3"/>
        <v>#DIV/0!</v>
      </c>
      <c r="K91" s="587" t="e">
        <f t="shared" si="4"/>
        <v>#N/A</v>
      </c>
      <c r="L91" s="587">
        <f t="shared" si="5"/>
        <v>0</v>
      </c>
      <c r="M91" s="588" t="e">
        <f t="shared" si="0"/>
        <v>#N/A</v>
      </c>
      <c r="N91" s="589" t="e">
        <f t="shared" si="1"/>
        <v>#N/A</v>
      </c>
      <c r="O91" s="589">
        <f t="shared" si="6"/>
        <v>0</v>
      </c>
      <c r="P91" s="66">
        <f t="shared" si="7"/>
      </c>
    </row>
    <row r="92" spans="1:16" ht="12.75">
      <c r="A92" s="590"/>
      <c r="B92" s="592"/>
      <c r="C92" s="593"/>
      <c r="D92" s="593"/>
      <c r="E92" s="596"/>
      <c r="F92" s="596"/>
      <c r="G92" s="584" t="e">
        <f aca="true" t="shared" si="9" ref="G92:G155">LOOKUP(F92,$I$2:$I$15,$J$2:$J$15)</f>
        <v>#N/A</v>
      </c>
      <c r="H92" s="600"/>
      <c r="I92" s="585">
        <f t="shared" si="2"/>
        <v>0</v>
      </c>
      <c r="J92" s="586" t="e">
        <f t="shared" si="3"/>
        <v>#DIV/0!</v>
      </c>
      <c r="K92" s="587" t="e">
        <f t="shared" si="4"/>
        <v>#N/A</v>
      </c>
      <c r="L92" s="587">
        <f t="shared" si="5"/>
        <v>0</v>
      </c>
      <c r="M92" s="588" t="e">
        <f aca="true" t="shared" si="10" ref="M92:M155">IF(D92="Exit Signs","NA",E92*LOOKUP(F92,$I$2:$I$24,$K$2:$K$24)/B92)</f>
        <v>#N/A</v>
      </c>
      <c r="N92" s="589" t="e">
        <f aca="true" t="shared" si="11" ref="N92:N155">LOOKUP(D92,$T$2:$T$13,$V$2:$V$13)</f>
        <v>#N/A</v>
      </c>
      <c r="O92" s="589">
        <f t="shared" si="6"/>
        <v>0</v>
      </c>
      <c r="P92" s="66">
        <f t="shared" si="7"/>
      </c>
    </row>
    <row r="93" spans="1:16" ht="12.75">
      <c r="A93" s="590"/>
      <c r="B93" s="592"/>
      <c r="C93" s="599"/>
      <c r="D93" s="593"/>
      <c r="E93" s="596"/>
      <c r="F93" s="596"/>
      <c r="G93" s="584" t="e">
        <f t="shared" si="9"/>
        <v>#N/A</v>
      </c>
      <c r="H93" s="600"/>
      <c r="I93" s="585">
        <f aca="true" t="shared" si="12" ref="I93:I156">IF(E93&gt;0,E93*G93*H93,0)</f>
        <v>0</v>
      </c>
      <c r="J93" s="586" t="e">
        <f aca="true" t="shared" si="13" ref="J93:J156">IF(D93="Exit Signs","convert to kW",I93/(B93*H93))</f>
        <v>#DIV/0!</v>
      </c>
      <c r="K93" s="587" t="e">
        <f aca="true" t="shared" si="14" ref="K93:K156">IF($C$15="Space-By-Space (9.6.1)",LOOKUP(D93,$T$2:$T$13,$U$2:$U$13),0.7)</f>
        <v>#N/A</v>
      </c>
      <c r="L93" s="587">
        <f aca="true" t="shared" si="15" ref="L93:L156">IF(D93="Exit Signs",5*E93,IF(B93&gt;0,K93*B93,0))</f>
        <v>0</v>
      </c>
      <c r="M93" s="588" t="e">
        <f t="shared" si="10"/>
        <v>#N/A</v>
      </c>
      <c r="N93" s="589" t="e">
        <f t="shared" si="11"/>
        <v>#N/A</v>
      </c>
      <c r="O93" s="589">
        <f aca="true" t="shared" si="16" ref="O93:O156">B93*H93</f>
        <v>0</v>
      </c>
      <c r="P93" s="66">
        <f aca="true" t="shared" si="17" ref="P93:P156">IF(E93&gt;0,IF(M93&lt;N93,"Insufficient lighting to meet IESNA footcandle recommendations.",""),"")</f>
      </c>
    </row>
    <row r="94" spans="1:16" ht="12.75">
      <c r="A94" s="590"/>
      <c r="B94" s="592"/>
      <c r="C94" s="593"/>
      <c r="D94" s="593"/>
      <c r="E94" s="596"/>
      <c r="F94" s="596"/>
      <c r="G94" s="584" t="e">
        <f t="shared" si="9"/>
        <v>#N/A</v>
      </c>
      <c r="H94" s="600"/>
      <c r="I94" s="585">
        <f t="shared" si="12"/>
        <v>0</v>
      </c>
      <c r="J94" s="586" t="e">
        <f t="shared" si="13"/>
        <v>#DIV/0!</v>
      </c>
      <c r="K94" s="587" t="e">
        <f t="shared" si="14"/>
        <v>#N/A</v>
      </c>
      <c r="L94" s="587">
        <f t="shared" si="15"/>
        <v>0</v>
      </c>
      <c r="M94" s="588" t="e">
        <f t="shared" si="10"/>
        <v>#N/A</v>
      </c>
      <c r="N94" s="589" t="e">
        <f t="shared" si="11"/>
        <v>#N/A</v>
      </c>
      <c r="O94" s="589">
        <f t="shared" si="16"/>
        <v>0</v>
      </c>
      <c r="P94" s="66">
        <f t="shared" si="17"/>
      </c>
    </row>
    <row r="95" spans="1:16" ht="12.75">
      <c r="A95" s="590"/>
      <c r="B95" s="592"/>
      <c r="C95" s="593"/>
      <c r="D95" s="593"/>
      <c r="E95" s="596"/>
      <c r="F95" s="596"/>
      <c r="G95" s="584" t="e">
        <f t="shared" si="9"/>
        <v>#N/A</v>
      </c>
      <c r="H95" s="600"/>
      <c r="I95" s="585">
        <f t="shared" si="12"/>
        <v>0</v>
      </c>
      <c r="J95" s="586" t="e">
        <f t="shared" si="13"/>
        <v>#DIV/0!</v>
      </c>
      <c r="K95" s="587" t="e">
        <f t="shared" si="14"/>
        <v>#N/A</v>
      </c>
      <c r="L95" s="587">
        <f t="shared" si="15"/>
        <v>0</v>
      </c>
      <c r="M95" s="588" t="e">
        <f t="shared" si="10"/>
        <v>#N/A</v>
      </c>
      <c r="N95" s="589" t="e">
        <f t="shared" si="11"/>
        <v>#N/A</v>
      </c>
      <c r="O95" s="589">
        <f t="shared" si="16"/>
        <v>0</v>
      </c>
      <c r="P95" s="66">
        <f t="shared" si="17"/>
      </c>
    </row>
    <row r="96" spans="1:16" ht="12.75">
      <c r="A96" s="590"/>
      <c r="B96" s="592"/>
      <c r="C96" s="593"/>
      <c r="D96" s="593"/>
      <c r="E96" s="596"/>
      <c r="F96" s="596"/>
      <c r="G96" s="584" t="e">
        <f t="shared" si="9"/>
        <v>#N/A</v>
      </c>
      <c r="H96" s="600"/>
      <c r="I96" s="585">
        <f t="shared" si="12"/>
        <v>0</v>
      </c>
      <c r="J96" s="586" t="e">
        <f t="shared" si="13"/>
        <v>#DIV/0!</v>
      </c>
      <c r="K96" s="587" t="e">
        <f t="shared" si="14"/>
        <v>#N/A</v>
      </c>
      <c r="L96" s="587">
        <f t="shared" si="15"/>
        <v>0</v>
      </c>
      <c r="M96" s="588" t="e">
        <f t="shared" si="10"/>
        <v>#N/A</v>
      </c>
      <c r="N96" s="589" t="e">
        <f t="shared" si="11"/>
        <v>#N/A</v>
      </c>
      <c r="O96" s="589">
        <f t="shared" si="16"/>
        <v>0</v>
      </c>
      <c r="P96" s="66">
        <f t="shared" si="17"/>
      </c>
    </row>
    <row r="97" spans="1:16" ht="12.75">
      <c r="A97" s="590"/>
      <c r="B97" s="592"/>
      <c r="C97" s="593"/>
      <c r="D97" s="593"/>
      <c r="E97" s="596"/>
      <c r="F97" s="596"/>
      <c r="G97" s="584" t="e">
        <f t="shared" si="9"/>
        <v>#N/A</v>
      </c>
      <c r="H97" s="600"/>
      <c r="I97" s="585">
        <f t="shared" si="12"/>
        <v>0</v>
      </c>
      <c r="J97" s="586" t="e">
        <f t="shared" si="13"/>
        <v>#DIV/0!</v>
      </c>
      <c r="K97" s="587" t="e">
        <f t="shared" si="14"/>
        <v>#N/A</v>
      </c>
      <c r="L97" s="587">
        <f t="shared" si="15"/>
        <v>0</v>
      </c>
      <c r="M97" s="588" t="e">
        <f t="shared" si="10"/>
        <v>#N/A</v>
      </c>
      <c r="N97" s="589" t="e">
        <f t="shared" si="11"/>
        <v>#N/A</v>
      </c>
      <c r="O97" s="589">
        <f t="shared" si="16"/>
        <v>0</v>
      </c>
      <c r="P97" s="66">
        <f t="shared" si="17"/>
      </c>
    </row>
    <row r="98" spans="1:16" ht="12.75">
      <c r="A98" s="590"/>
      <c r="B98" s="592"/>
      <c r="C98" s="593"/>
      <c r="D98" s="593"/>
      <c r="E98" s="596"/>
      <c r="F98" s="596"/>
      <c r="G98" s="584" t="e">
        <f t="shared" si="9"/>
        <v>#N/A</v>
      </c>
      <c r="H98" s="600"/>
      <c r="I98" s="585">
        <f t="shared" si="12"/>
        <v>0</v>
      </c>
      <c r="J98" s="586" t="e">
        <f t="shared" si="13"/>
        <v>#DIV/0!</v>
      </c>
      <c r="K98" s="587" t="e">
        <f t="shared" si="14"/>
        <v>#N/A</v>
      </c>
      <c r="L98" s="587">
        <f t="shared" si="15"/>
        <v>0</v>
      </c>
      <c r="M98" s="588" t="e">
        <f t="shared" si="10"/>
        <v>#N/A</v>
      </c>
      <c r="N98" s="589" t="e">
        <f t="shared" si="11"/>
        <v>#N/A</v>
      </c>
      <c r="O98" s="589">
        <f t="shared" si="16"/>
        <v>0</v>
      </c>
      <c r="P98" s="66">
        <f t="shared" si="17"/>
      </c>
    </row>
    <row r="99" spans="1:16" ht="12.75">
      <c r="A99" s="590"/>
      <c r="B99" s="592"/>
      <c r="C99" s="599"/>
      <c r="D99" s="593"/>
      <c r="E99" s="596"/>
      <c r="F99" s="596"/>
      <c r="G99" s="584" t="e">
        <f t="shared" si="9"/>
        <v>#N/A</v>
      </c>
      <c r="H99" s="600"/>
      <c r="I99" s="585">
        <f t="shared" si="12"/>
        <v>0</v>
      </c>
      <c r="J99" s="586" t="e">
        <f t="shared" si="13"/>
        <v>#DIV/0!</v>
      </c>
      <c r="K99" s="587" t="e">
        <f t="shared" si="14"/>
        <v>#N/A</v>
      </c>
      <c r="L99" s="587">
        <f t="shared" si="15"/>
        <v>0</v>
      </c>
      <c r="M99" s="588" t="e">
        <f t="shared" si="10"/>
        <v>#N/A</v>
      </c>
      <c r="N99" s="589" t="e">
        <f t="shared" si="11"/>
        <v>#N/A</v>
      </c>
      <c r="O99" s="589">
        <f t="shared" si="16"/>
        <v>0</v>
      </c>
      <c r="P99" s="66">
        <f t="shared" si="17"/>
      </c>
    </row>
    <row r="100" spans="1:16" ht="12.75">
      <c r="A100" s="590"/>
      <c r="B100" s="592"/>
      <c r="C100" s="593"/>
      <c r="D100" s="593"/>
      <c r="E100" s="596"/>
      <c r="F100" s="596"/>
      <c r="G100" s="584" t="e">
        <f t="shared" si="9"/>
        <v>#N/A</v>
      </c>
      <c r="H100" s="600"/>
      <c r="I100" s="585">
        <f t="shared" si="12"/>
        <v>0</v>
      </c>
      <c r="J100" s="586" t="e">
        <f t="shared" si="13"/>
        <v>#DIV/0!</v>
      </c>
      <c r="K100" s="587" t="e">
        <f t="shared" si="14"/>
        <v>#N/A</v>
      </c>
      <c r="L100" s="587">
        <f t="shared" si="15"/>
        <v>0</v>
      </c>
      <c r="M100" s="588" t="e">
        <f t="shared" si="10"/>
        <v>#N/A</v>
      </c>
      <c r="N100" s="589" t="e">
        <f t="shared" si="11"/>
        <v>#N/A</v>
      </c>
      <c r="O100" s="589">
        <f t="shared" si="16"/>
        <v>0</v>
      </c>
      <c r="P100" s="66">
        <f t="shared" si="17"/>
      </c>
    </row>
    <row r="101" spans="1:16" ht="12.75">
      <c r="A101" s="590"/>
      <c r="B101" s="592"/>
      <c r="C101" s="593"/>
      <c r="D101" s="593"/>
      <c r="E101" s="596"/>
      <c r="F101" s="596"/>
      <c r="G101" s="584" t="e">
        <f t="shared" si="9"/>
        <v>#N/A</v>
      </c>
      <c r="H101" s="600"/>
      <c r="I101" s="585">
        <f t="shared" si="12"/>
        <v>0</v>
      </c>
      <c r="J101" s="586" t="e">
        <f t="shared" si="13"/>
        <v>#DIV/0!</v>
      </c>
      <c r="K101" s="587" t="e">
        <f t="shared" si="14"/>
        <v>#N/A</v>
      </c>
      <c r="L101" s="587">
        <f t="shared" si="15"/>
        <v>0</v>
      </c>
      <c r="M101" s="588" t="e">
        <f t="shared" si="10"/>
        <v>#N/A</v>
      </c>
      <c r="N101" s="589" t="e">
        <f t="shared" si="11"/>
        <v>#N/A</v>
      </c>
      <c r="O101" s="589">
        <f t="shared" si="16"/>
        <v>0</v>
      </c>
      <c r="P101" s="66">
        <f t="shared" si="17"/>
      </c>
    </row>
    <row r="102" spans="1:16" ht="12.75">
      <c r="A102" s="590"/>
      <c r="B102" s="592"/>
      <c r="C102" s="593"/>
      <c r="D102" s="593"/>
      <c r="E102" s="596"/>
      <c r="F102" s="596"/>
      <c r="G102" s="584" t="e">
        <f t="shared" si="9"/>
        <v>#N/A</v>
      </c>
      <c r="H102" s="600"/>
      <c r="I102" s="585">
        <f t="shared" si="12"/>
        <v>0</v>
      </c>
      <c r="J102" s="586" t="e">
        <f t="shared" si="13"/>
        <v>#DIV/0!</v>
      </c>
      <c r="K102" s="587" t="e">
        <f t="shared" si="14"/>
        <v>#N/A</v>
      </c>
      <c r="L102" s="587">
        <f t="shared" si="15"/>
        <v>0</v>
      </c>
      <c r="M102" s="588" t="e">
        <f t="shared" si="10"/>
        <v>#N/A</v>
      </c>
      <c r="N102" s="589" t="e">
        <f t="shared" si="11"/>
        <v>#N/A</v>
      </c>
      <c r="O102" s="589">
        <f t="shared" si="16"/>
        <v>0</v>
      </c>
      <c r="P102" s="66">
        <f t="shared" si="17"/>
      </c>
    </row>
    <row r="103" spans="1:16" ht="12.75">
      <c r="A103" s="590"/>
      <c r="B103" s="592"/>
      <c r="C103" s="593"/>
      <c r="D103" s="593"/>
      <c r="E103" s="596"/>
      <c r="F103" s="596"/>
      <c r="G103" s="584" t="e">
        <f t="shared" si="9"/>
        <v>#N/A</v>
      </c>
      <c r="H103" s="600"/>
      <c r="I103" s="585">
        <f t="shared" si="12"/>
        <v>0</v>
      </c>
      <c r="J103" s="586" t="e">
        <f t="shared" si="13"/>
        <v>#DIV/0!</v>
      </c>
      <c r="K103" s="587" t="e">
        <f t="shared" si="14"/>
        <v>#N/A</v>
      </c>
      <c r="L103" s="587">
        <f t="shared" si="15"/>
        <v>0</v>
      </c>
      <c r="M103" s="588" t="e">
        <f t="shared" si="10"/>
        <v>#N/A</v>
      </c>
      <c r="N103" s="589" t="e">
        <f t="shared" si="11"/>
        <v>#N/A</v>
      </c>
      <c r="O103" s="589">
        <f t="shared" si="16"/>
        <v>0</v>
      </c>
      <c r="P103" s="66">
        <f t="shared" si="17"/>
      </c>
    </row>
    <row r="104" spans="1:16" ht="12.75">
      <c r="A104" s="590"/>
      <c r="B104" s="592"/>
      <c r="C104" s="593"/>
      <c r="D104" s="593"/>
      <c r="E104" s="596"/>
      <c r="F104" s="596"/>
      <c r="G104" s="584" t="e">
        <f t="shared" si="9"/>
        <v>#N/A</v>
      </c>
      <c r="H104" s="600"/>
      <c r="I104" s="585">
        <f t="shared" si="12"/>
        <v>0</v>
      </c>
      <c r="J104" s="586" t="e">
        <f t="shared" si="13"/>
        <v>#DIV/0!</v>
      </c>
      <c r="K104" s="587" t="e">
        <f t="shared" si="14"/>
        <v>#N/A</v>
      </c>
      <c r="L104" s="587">
        <f t="shared" si="15"/>
        <v>0</v>
      </c>
      <c r="M104" s="588" t="e">
        <f t="shared" si="10"/>
        <v>#N/A</v>
      </c>
      <c r="N104" s="589" t="e">
        <f t="shared" si="11"/>
        <v>#N/A</v>
      </c>
      <c r="O104" s="589">
        <f t="shared" si="16"/>
        <v>0</v>
      </c>
      <c r="P104" s="66">
        <f t="shared" si="17"/>
      </c>
    </row>
    <row r="105" spans="1:16" ht="12.75">
      <c r="A105" s="590"/>
      <c r="B105" s="592"/>
      <c r="C105" s="599"/>
      <c r="D105" s="593"/>
      <c r="E105" s="596"/>
      <c r="F105" s="596"/>
      <c r="G105" s="584" t="e">
        <f t="shared" si="9"/>
        <v>#N/A</v>
      </c>
      <c r="H105" s="600"/>
      <c r="I105" s="585">
        <f t="shared" si="12"/>
        <v>0</v>
      </c>
      <c r="J105" s="586" t="e">
        <f t="shared" si="13"/>
        <v>#DIV/0!</v>
      </c>
      <c r="K105" s="587" t="e">
        <f t="shared" si="14"/>
        <v>#N/A</v>
      </c>
      <c r="L105" s="587">
        <f t="shared" si="15"/>
        <v>0</v>
      </c>
      <c r="M105" s="588" t="e">
        <f t="shared" si="10"/>
        <v>#N/A</v>
      </c>
      <c r="N105" s="589" t="e">
        <f t="shared" si="11"/>
        <v>#N/A</v>
      </c>
      <c r="O105" s="589">
        <f t="shared" si="16"/>
        <v>0</v>
      </c>
      <c r="P105" s="66">
        <f t="shared" si="17"/>
      </c>
    </row>
    <row r="106" spans="1:16" ht="12.75">
      <c r="A106" s="590"/>
      <c r="B106" s="592"/>
      <c r="C106" s="593"/>
      <c r="D106" s="593"/>
      <c r="E106" s="596"/>
      <c r="F106" s="596"/>
      <c r="G106" s="584" t="e">
        <f t="shared" si="9"/>
        <v>#N/A</v>
      </c>
      <c r="H106" s="600"/>
      <c r="I106" s="585">
        <f t="shared" si="12"/>
        <v>0</v>
      </c>
      <c r="J106" s="586" t="e">
        <f t="shared" si="13"/>
        <v>#DIV/0!</v>
      </c>
      <c r="K106" s="587" t="e">
        <f t="shared" si="14"/>
        <v>#N/A</v>
      </c>
      <c r="L106" s="587">
        <f t="shared" si="15"/>
        <v>0</v>
      </c>
      <c r="M106" s="588" t="e">
        <f t="shared" si="10"/>
        <v>#N/A</v>
      </c>
      <c r="N106" s="589" t="e">
        <f t="shared" si="11"/>
        <v>#N/A</v>
      </c>
      <c r="O106" s="589">
        <f t="shared" si="16"/>
        <v>0</v>
      </c>
      <c r="P106" s="66">
        <f t="shared" si="17"/>
      </c>
    </row>
    <row r="107" spans="1:16" ht="12.75">
      <c r="A107" s="590"/>
      <c r="B107" s="592"/>
      <c r="C107" s="593"/>
      <c r="D107" s="593"/>
      <c r="E107" s="596"/>
      <c r="F107" s="596"/>
      <c r="G107" s="584" t="e">
        <f t="shared" si="9"/>
        <v>#N/A</v>
      </c>
      <c r="H107" s="600"/>
      <c r="I107" s="585">
        <f t="shared" si="12"/>
        <v>0</v>
      </c>
      <c r="J107" s="586" t="e">
        <f t="shared" si="13"/>
        <v>#DIV/0!</v>
      </c>
      <c r="K107" s="587" t="e">
        <f t="shared" si="14"/>
        <v>#N/A</v>
      </c>
      <c r="L107" s="587">
        <f t="shared" si="15"/>
        <v>0</v>
      </c>
      <c r="M107" s="588" t="e">
        <f t="shared" si="10"/>
        <v>#N/A</v>
      </c>
      <c r="N107" s="589" t="e">
        <f t="shared" si="11"/>
        <v>#N/A</v>
      </c>
      <c r="O107" s="589">
        <f t="shared" si="16"/>
        <v>0</v>
      </c>
      <c r="P107" s="66">
        <f t="shared" si="17"/>
      </c>
    </row>
    <row r="108" spans="1:16" ht="12.75">
      <c r="A108" s="590"/>
      <c r="B108" s="592"/>
      <c r="C108" s="593"/>
      <c r="D108" s="593"/>
      <c r="E108" s="596"/>
      <c r="F108" s="596"/>
      <c r="G108" s="584" t="e">
        <f t="shared" si="9"/>
        <v>#N/A</v>
      </c>
      <c r="H108" s="600"/>
      <c r="I108" s="585">
        <f t="shared" si="12"/>
        <v>0</v>
      </c>
      <c r="J108" s="586" t="e">
        <f t="shared" si="13"/>
        <v>#DIV/0!</v>
      </c>
      <c r="K108" s="587" t="e">
        <f t="shared" si="14"/>
        <v>#N/A</v>
      </c>
      <c r="L108" s="587">
        <f t="shared" si="15"/>
        <v>0</v>
      </c>
      <c r="M108" s="588" t="e">
        <f t="shared" si="10"/>
        <v>#N/A</v>
      </c>
      <c r="N108" s="589" t="e">
        <f t="shared" si="11"/>
        <v>#N/A</v>
      </c>
      <c r="O108" s="589">
        <f t="shared" si="16"/>
        <v>0</v>
      </c>
      <c r="P108" s="66">
        <f t="shared" si="17"/>
      </c>
    </row>
    <row r="109" spans="1:16" ht="12.75">
      <c r="A109" s="590"/>
      <c r="B109" s="592"/>
      <c r="C109" s="593"/>
      <c r="D109" s="593"/>
      <c r="E109" s="596"/>
      <c r="F109" s="596"/>
      <c r="G109" s="584" t="e">
        <f t="shared" si="9"/>
        <v>#N/A</v>
      </c>
      <c r="H109" s="600"/>
      <c r="I109" s="585">
        <f t="shared" si="12"/>
        <v>0</v>
      </c>
      <c r="J109" s="586" t="e">
        <f t="shared" si="13"/>
        <v>#DIV/0!</v>
      </c>
      <c r="K109" s="587" t="e">
        <f t="shared" si="14"/>
        <v>#N/A</v>
      </c>
      <c r="L109" s="587">
        <f t="shared" si="15"/>
        <v>0</v>
      </c>
      <c r="M109" s="588" t="e">
        <f t="shared" si="10"/>
        <v>#N/A</v>
      </c>
      <c r="N109" s="589" t="e">
        <f t="shared" si="11"/>
        <v>#N/A</v>
      </c>
      <c r="O109" s="589">
        <f t="shared" si="16"/>
        <v>0</v>
      </c>
      <c r="P109" s="66">
        <f t="shared" si="17"/>
      </c>
    </row>
    <row r="110" spans="1:16" ht="12.75">
      <c r="A110" s="590"/>
      <c r="B110" s="592"/>
      <c r="C110" s="593"/>
      <c r="D110" s="593"/>
      <c r="E110" s="596"/>
      <c r="F110" s="596"/>
      <c r="G110" s="584" t="e">
        <f t="shared" si="9"/>
        <v>#N/A</v>
      </c>
      <c r="H110" s="600"/>
      <c r="I110" s="585">
        <f t="shared" si="12"/>
        <v>0</v>
      </c>
      <c r="J110" s="586" t="e">
        <f t="shared" si="13"/>
        <v>#DIV/0!</v>
      </c>
      <c r="K110" s="587" t="e">
        <f t="shared" si="14"/>
        <v>#N/A</v>
      </c>
      <c r="L110" s="587">
        <f t="shared" si="15"/>
        <v>0</v>
      </c>
      <c r="M110" s="588" t="e">
        <f t="shared" si="10"/>
        <v>#N/A</v>
      </c>
      <c r="N110" s="589" t="e">
        <f t="shared" si="11"/>
        <v>#N/A</v>
      </c>
      <c r="O110" s="589">
        <f t="shared" si="16"/>
        <v>0</v>
      </c>
      <c r="P110" s="66">
        <f t="shared" si="17"/>
      </c>
    </row>
    <row r="111" spans="1:16" ht="12.75">
      <c r="A111" s="590"/>
      <c r="B111" s="592"/>
      <c r="C111" s="599"/>
      <c r="D111" s="593"/>
      <c r="E111" s="596"/>
      <c r="F111" s="596"/>
      <c r="G111" s="584" t="e">
        <f t="shared" si="9"/>
        <v>#N/A</v>
      </c>
      <c r="H111" s="600"/>
      <c r="I111" s="585">
        <f t="shared" si="12"/>
        <v>0</v>
      </c>
      <c r="J111" s="586" t="e">
        <f t="shared" si="13"/>
        <v>#DIV/0!</v>
      </c>
      <c r="K111" s="587" t="e">
        <f t="shared" si="14"/>
        <v>#N/A</v>
      </c>
      <c r="L111" s="587">
        <f t="shared" si="15"/>
        <v>0</v>
      </c>
      <c r="M111" s="588" t="e">
        <f t="shared" si="10"/>
        <v>#N/A</v>
      </c>
      <c r="N111" s="589" t="e">
        <f t="shared" si="11"/>
        <v>#N/A</v>
      </c>
      <c r="O111" s="589">
        <f t="shared" si="16"/>
        <v>0</v>
      </c>
      <c r="P111" s="66">
        <f t="shared" si="17"/>
      </c>
    </row>
    <row r="112" spans="1:16" ht="12.75">
      <c r="A112" s="590"/>
      <c r="B112" s="592"/>
      <c r="C112" s="593"/>
      <c r="D112" s="593"/>
      <c r="E112" s="596"/>
      <c r="F112" s="596"/>
      <c r="G112" s="584" t="e">
        <f t="shared" si="9"/>
        <v>#N/A</v>
      </c>
      <c r="H112" s="600"/>
      <c r="I112" s="585">
        <f t="shared" si="12"/>
        <v>0</v>
      </c>
      <c r="J112" s="586" t="e">
        <f t="shared" si="13"/>
        <v>#DIV/0!</v>
      </c>
      <c r="K112" s="587" t="e">
        <f t="shared" si="14"/>
        <v>#N/A</v>
      </c>
      <c r="L112" s="587">
        <f t="shared" si="15"/>
        <v>0</v>
      </c>
      <c r="M112" s="588" t="e">
        <f t="shared" si="10"/>
        <v>#N/A</v>
      </c>
      <c r="N112" s="589" t="e">
        <f t="shared" si="11"/>
        <v>#N/A</v>
      </c>
      <c r="O112" s="589">
        <f t="shared" si="16"/>
        <v>0</v>
      </c>
      <c r="P112" s="66">
        <f t="shared" si="17"/>
      </c>
    </row>
    <row r="113" spans="1:16" ht="12.75">
      <c r="A113" s="590"/>
      <c r="B113" s="592"/>
      <c r="C113" s="593"/>
      <c r="D113" s="593"/>
      <c r="E113" s="596"/>
      <c r="F113" s="596"/>
      <c r="G113" s="584" t="e">
        <f t="shared" si="9"/>
        <v>#N/A</v>
      </c>
      <c r="H113" s="600"/>
      <c r="I113" s="585">
        <f t="shared" si="12"/>
        <v>0</v>
      </c>
      <c r="J113" s="586" t="e">
        <f t="shared" si="13"/>
        <v>#DIV/0!</v>
      </c>
      <c r="K113" s="587" t="e">
        <f t="shared" si="14"/>
        <v>#N/A</v>
      </c>
      <c r="L113" s="587">
        <f t="shared" si="15"/>
        <v>0</v>
      </c>
      <c r="M113" s="588" t="e">
        <f t="shared" si="10"/>
        <v>#N/A</v>
      </c>
      <c r="N113" s="589" t="e">
        <f t="shared" si="11"/>
        <v>#N/A</v>
      </c>
      <c r="O113" s="589">
        <f t="shared" si="16"/>
        <v>0</v>
      </c>
      <c r="P113" s="66">
        <f t="shared" si="17"/>
      </c>
    </row>
    <row r="114" spans="1:16" ht="12.75">
      <c r="A114" s="590"/>
      <c r="B114" s="592"/>
      <c r="C114" s="593"/>
      <c r="D114" s="593"/>
      <c r="E114" s="596"/>
      <c r="F114" s="596"/>
      <c r="G114" s="584" t="e">
        <f t="shared" si="9"/>
        <v>#N/A</v>
      </c>
      <c r="H114" s="600"/>
      <c r="I114" s="585">
        <f t="shared" si="12"/>
        <v>0</v>
      </c>
      <c r="J114" s="586" t="e">
        <f t="shared" si="13"/>
        <v>#DIV/0!</v>
      </c>
      <c r="K114" s="587" t="e">
        <f t="shared" si="14"/>
        <v>#N/A</v>
      </c>
      <c r="L114" s="587">
        <f t="shared" si="15"/>
        <v>0</v>
      </c>
      <c r="M114" s="588" t="e">
        <f t="shared" si="10"/>
        <v>#N/A</v>
      </c>
      <c r="N114" s="589" t="e">
        <f t="shared" si="11"/>
        <v>#N/A</v>
      </c>
      <c r="O114" s="589">
        <f t="shared" si="16"/>
        <v>0</v>
      </c>
      <c r="P114" s="66">
        <f t="shared" si="17"/>
      </c>
    </row>
    <row r="115" spans="1:16" ht="12.75">
      <c r="A115" s="590"/>
      <c r="B115" s="592"/>
      <c r="C115" s="593"/>
      <c r="D115" s="593"/>
      <c r="E115" s="596"/>
      <c r="F115" s="596"/>
      <c r="G115" s="584" t="e">
        <f t="shared" si="9"/>
        <v>#N/A</v>
      </c>
      <c r="H115" s="600"/>
      <c r="I115" s="585">
        <f t="shared" si="12"/>
        <v>0</v>
      </c>
      <c r="J115" s="586" t="e">
        <f t="shared" si="13"/>
        <v>#DIV/0!</v>
      </c>
      <c r="K115" s="587" t="e">
        <f t="shared" si="14"/>
        <v>#N/A</v>
      </c>
      <c r="L115" s="587">
        <f t="shared" si="15"/>
        <v>0</v>
      </c>
      <c r="M115" s="588" t="e">
        <f t="shared" si="10"/>
        <v>#N/A</v>
      </c>
      <c r="N115" s="589" t="e">
        <f t="shared" si="11"/>
        <v>#N/A</v>
      </c>
      <c r="O115" s="589">
        <f t="shared" si="16"/>
        <v>0</v>
      </c>
      <c r="P115" s="66">
        <f t="shared" si="17"/>
      </c>
    </row>
    <row r="116" spans="1:16" ht="12.75">
      <c r="A116" s="590"/>
      <c r="B116" s="592"/>
      <c r="C116" s="593"/>
      <c r="D116" s="593"/>
      <c r="E116" s="596"/>
      <c r="F116" s="596"/>
      <c r="G116" s="584" t="e">
        <f t="shared" si="9"/>
        <v>#N/A</v>
      </c>
      <c r="H116" s="600"/>
      <c r="I116" s="585">
        <f t="shared" si="12"/>
        <v>0</v>
      </c>
      <c r="J116" s="586" t="e">
        <f t="shared" si="13"/>
        <v>#DIV/0!</v>
      </c>
      <c r="K116" s="587" t="e">
        <f t="shared" si="14"/>
        <v>#N/A</v>
      </c>
      <c r="L116" s="587">
        <f t="shared" si="15"/>
        <v>0</v>
      </c>
      <c r="M116" s="588" t="e">
        <f t="shared" si="10"/>
        <v>#N/A</v>
      </c>
      <c r="N116" s="589" t="e">
        <f t="shared" si="11"/>
        <v>#N/A</v>
      </c>
      <c r="O116" s="589">
        <f t="shared" si="16"/>
        <v>0</v>
      </c>
      <c r="P116" s="66">
        <f t="shared" si="17"/>
      </c>
    </row>
    <row r="117" spans="1:16" ht="12.75">
      <c r="A117" s="590"/>
      <c r="B117" s="592"/>
      <c r="C117" s="599"/>
      <c r="D117" s="593"/>
      <c r="E117" s="596"/>
      <c r="F117" s="596"/>
      <c r="G117" s="584" t="e">
        <f t="shared" si="9"/>
        <v>#N/A</v>
      </c>
      <c r="H117" s="600"/>
      <c r="I117" s="585">
        <f t="shared" si="12"/>
        <v>0</v>
      </c>
      <c r="J117" s="586" t="e">
        <f t="shared" si="13"/>
        <v>#DIV/0!</v>
      </c>
      <c r="K117" s="587" t="e">
        <f t="shared" si="14"/>
        <v>#N/A</v>
      </c>
      <c r="L117" s="587">
        <f t="shared" si="15"/>
        <v>0</v>
      </c>
      <c r="M117" s="588" t="e">
        <f t="shared" si="10"/>
        <v>#N/A</v>
      </c>
      <c r="N117" s="589" t="e">
        <f t="shared" si="11"/>
        <v>#N/A</v>
      </c>
      <c r="O117" s="589">
        <f t="shared" si="16"/>
        <v>0</v>
      </c>
      <c r="P117" s="66">
        <f t="shared" si="17"/>
      </c>
    </row>
    <row r="118" spans="1:16" ht="12.75">
      <c r="A118" s="590"/>
      <c r="B118" s="592"/>
      <c r="C118" s="593"/>
      <c r="D118" s="593"/>
      <c r="E118" s="596"/>
      <c r="F118" s="596"/>
      <c r="G118" s="584" t="e">
        <f t="shared" si="9"/>
        <v>#N/A</v>
      </c>
      <c r="H118" s="600"/>
      <c r="I118" s="585">
        <f t="shared" si="12"/>
        <v>0</v>
      </c>
      <c r="J118" s="586" t="e">
        <f t="shared" si="13"/>
        <v>#DIV/0!</v>
      </c>
      <c r="K118" s="587" t="e">
        <f t="shared" si="14"/>
        <v>#N/A</v>
      </c>
      <c r="L118" s="587">
        <f t="shared" si="15"/>
        <v>0</v>
      </c>
      <c r="M118" s="588" t="e">
        <f t="shared" si="10"/>
        <v>#N/A</v>
      </c>
      <c r="N118" s="589" t="e">
        <f t="shared" si="11"/>
        <v>#N/A</v>
      </c>
      <c r="O118" s="589">
        <f t="shared" si="16"/>
        <v>0</v>
      </c>
      <c r="P118" s="66">
        <f t="shared" si="17"/>
      </c>
    </row>
    <row r="119" spans="1:16" ht="12.75">
      <c r="A119" s="590"/>
      <c r="B119" s="592"/>
      <c r="C119" s="593"/>
      <c r="D119" s="593"/>
      <c r="E119" s="596"/>
      <c r="F119" s="596"/>
      <c r="G119" s="584" t="e">
        <f t="shared" si="9"/>
        <v>#N/A</v>
      </c>
      <c r="H119" s="600"/>
      <c r="I119" s="585">
        <f t="shared" si="12"/>
        <v>0</v>
      </c>
      <c r="J119" s="586" t="e">
        <f t="shared" si="13"/>
        <v>#DIV/0!</v>
      </c>
      <c r="K119" s="587" t="e">
        <f t="shared" si="14"/>
        <v>#N/A</v>
      </c>
      <c r="L119" s="587">
        <f t="shared" si="15"/>
        <v>0</v>
      </c>
      <c r="M119" s="588" t="e">
        <f t="shared" si="10"/>
        <v>#N/A</v>
      </c>
      <c r="N119" s="589" t="e">
        <f t="shared" si="11"/>
        <v>#N/A</v>
      </c>
      <c r="O119" s="589">
        <f t="shared" si="16"/>
        <v>0</v>
      </c>
      <c r="P119" s="66">
        <f t="shared" si="17"/>
      </c>
    </row>
    <row r="120" spans="1:16" ht="12.75">
      <c r="A120" s="590"/>
      <c r="B120" s="592"/>
      <c r="C120" s="593"/>
      <c r="D120" s="593"/>
      <c r="E120" s="596"/>
      <c r="F120" s="596"/>
      <c r="G120" s="584" t="e">
        <f t="shared" si="9"/>
        <v>#N/A</v>
      </c>
      <c r="H120" s="600"/>
      <c r="I120" s="585">
        <f t="shared" si="12"/>
        <v>0</v>
      </c>
      <c r="J120" s="586" t="e">
        <f t="shared" si="13"/>
        <v>#DIV/0!</v>
      </c>
      <c r="K120" s="587" t="e">
        <f t="shared" si="14"/>
        <v>#N/A</v>
      </c>
      <c r="L120" s="587">
        <f t="shared" si="15"/>
        <v>0</v>
      </c>
      <c r="M120" s="588" t="e">
        <f t="shared" si="10"/>
        <v>#N/A</v>
      </c>
      <c r="N120" s="589" t="e">
        <f t="shared" si="11"/>
        <v>#N/A</v>
      </c>
      <c r="O120" s="589">
        <f t="shared" si="16"/>
        <v>0</v>
      </c>
      <c r="P120" s="66">
        <f t="shared" si="17"/>
      </c>
    </row>
    <row r="121" spans="1:16" ht="12.75">
      <c r="A121" s="590"/>
      <c r="B121" s="592"/>
      <c r="C121" s="593"/>
      <c r="D121" s="593"/>
      <c r="E121" s="596"/>
      <c r="F121" s="596"/>
      <c r="G121" s="584" t="e">
        <f t="shared" si="9"/>
        <v>#N/A</v>
      </c>
      <c r="H121" s="600"/>
      <c r="I121" s="585">
        <f t="shared" si="12"/>
        <v>0</v>
      </c>
      <c r="J121" s="586" t="e">
        <f t="shared" si="13"/>
        <v>#DIV/0!</v>
      </c>
      <c r="K121" s="587" t="e">
        <f t="shared" si="14"/>
        <v>#N/A</v>
      </c>
      <c r="L121" s="587">
        <f t="shared" si="15"/>
        <v>0</v>
      </c>
      <c r="M121" s="588" t="e">
        <f t="shared" si="10"/>
        <v>#N/A</v>
      </c>
      <c r="N121" s="589" t="e">
        <f t="shared" si="11"/>
        <v>#N/A</v>
      </c>
      <c r="O121" s="589">
        <f t="shared" si="16"/>
        <v>0</v>
      </c>
      <c r="P121" s="66">
        <f t="shared" si="17"/>
      </c>
    </row>
    <row r="122" spans="1:16" ht="12.75">
      <c r="A122" s="590"/>
      <c r="B122" s="592"/>
      <c r="C122" s="593"/>
      <c r="D122" s="593"/>
      <c r="E122" s="596"/>
      <c r="F122" s="596"/>
      <c r="G122" s="584" t="e">
        <f t="shared" si="9"/>
        <v>#N/A</v>
      </c>
      <c r="H122" s="600"/>
      <c r="I122" s="585">
        <f t="shared" si="12"/>
        <v>0</v>
      </c>
      <c r="J122" s="586" t="e">
        <f t="shared" si="13"/>
        <v>#DIV/0!</v>
      </c>
      <c r="K122" s="587" t="e">
        <f t="shared" si="14"/>
        <v>#N/A</v>
      </c>
      <c r="L122" s="587">
        <f t="shared" si="15"/>
        <v>0</v>
      </c>
      <c r="M122" s="588" t="e">
        <f t="shared" si="10"/>
        <v>#N/A</v>
      </c>
      <c r="N122" s="589" t="e">
        <f t="shared" si="11"/>
        <v>#N/A</v>
      </c>
      <c r="O122" s="589">
        <f t="shared" si="16"/>
        <v>0</v>
      </c>
      <c r="P122" s="66">
        <f t="shared" si="17"/>
      </c>
    </row>
    <row r="123" spans="1:16" ht="12.75">
      <c r="A123" s="590"/>
      <c r="B123" s="592"/>
      <c r="C123" s="599"/>
      <c r="D123" s="593"/>
      <c r="E123" s="596"/>
      <c r="F123" s="596"/>
      <c r="G123" s="584" t="e">
        <f t="shared" si="9"/>
        <v>#N/A</v>
      </c>
      <c r="H123" s="600"/>
      <c r="I123" s="585">
        <f t="shared" si="12"/>
        <v>0</v>
      </c>
      <c r="J123" s="586" t="e">
        <f t="shared" si="13"/>
        <v>#DIV/0!</v>
      </c>
      <c r="K123" s="587" t="e">
        <f t="shared" si="14"/>
        <v>#N/A</v>
      </c>
      <c r="L123" s="587">
        <f t="shared" si="15"/>
        <v>0</v>
      </c>
      <c r="M123" s="588" t="e">
        <f t="shared" si="10"/>
        <v>#N/A</v>
      </c>
      <c r="N123" s="589" t="e">
        <f t="shared" si="11"/>
        <v>#N/A</v>
      </c>
      <c r="O123" s="589">
        <f t="shared" si="16"/>
        <v>0</v>
      </c>
      <c r="P123" s="66">
        <f t="shared" si="17"/>
      </c>
    </row>
    <row r="124" spans="1:16" ht="12.75">
      <c r="A124" s="590"/>
      <c r="B124" s="592"/>
      <c r="C124" s="593"/>
      <c r="D124" s="593"/>
      <c r="E124" s="596"/>
      <c r="F124" s="596"/>
      <c r="G124" s="584" t="e">
        <f t="shared" si="9"/>
        <v>#N/A</v>
      </c>
      <c r="H124" s="600"/>
      <c r="I124" s="585">
        <f t="shared" si="12"/>
        <v>0</v>
      </c>
      <c r="J124" s="586" t="e">
        <f t="shared" si="13"/>
        <v>#DIV/0!</v>
      </c>
      <c r="K124" s="587" t="e">
        <f t="shared" si="14"/>
        <v>#N/A</v>
      </c>
      <c r="L124" s="587">
        <f t="shared" si="15"/>
        <v>0</v>
      </c>
      <c r="M124" s="588" t="e">
        <f t="shared" si="10"/>
        <v>#N/A</v>
      </c>
      <c r="N124" s="589" t="e">
        <f t="shared" si="11"/>
        <v>#N/A</v>
      </c>
      <c r="O124" s="589">
        <f t="shared" si="16"/>
        <v>0</v>
      </c>
      <c r="P124" s="66">
        <f t="shared" si="17"/>
      </c>
    </row>
    <row r="125" spans="1:16" ht="12.75">
      <c r="A125" s="590"/>
      <c r="B125" s="592"/>
      <c r="C125" s="593"/>
      <c r="D125" s="593"/>
      <c r="E125" s="596"/>
      <c r="F125" s="596"/>
      <c r="G125" s="584" t="e">
        <f t="shared" si="9"/>
        <v>#N/A</v>
      </c>
      <c r="H125" s="600"/>
      <c r="I125" s="585">
        <f t="shared" si="12"/>
        <v>0</v>
      </c>
      <c r="J125" s="586" t="e">
        <f t="shared" si="13"/>
        <v>#DIV/0!</v>
      </c>
      <c r="K125" s="587" t="e">
        <f t="shared" si="14"/>
        <v>#N/A</v>
      </c>
      <c r="L125" s="587">
        <f t="shared" si="15"/>
        <v>0</v>
      </c>
      <c r="M125" s="588" t="e">
        <f t="shared" si="10"/>
        <v>#N/A</v>
      </c>
      <c r="N125" s="589" t="e">
        <f t="shared" si="11"/>
        <v>#N/A</v>
      </c>
      <c r="O125" s="589">
        <f t="shared" si="16"/>
        <v>0</v>
      </c>
      <c r="P125" s="66">
        <f t="shared" si="17"/>
      </c>
    </row>
    <row r="126" spans="1:16" ht="12.75">
      <c r="A126" s="590"/>
      <c r="B126" s="592"/>
      <c r="C126" s="593"/>
      <c r="D126" s="593"/>
      <c r="E126" s="596"/>
      <c r="F126" s="596"/>
      <c r="G126" s="584" t="e">
        <f t="shared" si="9"/>
        <v>#N/A</v>
      </c>
      <c r="H126" s="600"/>
      <c r="I126" s="585">
        <f t="shared" si="12"/>
        <v>0</v>
      </c>
      <c r="J126" s="586" t="e">
        <f t="shared" si="13"/>
        <v>#DIV/0!</v>
      </c>
      <c r="K126" s="587" t="e">
        <f t="shared" si="14"/>
        <v>#N/A</v>
      </c>
      <c r="L126" s="587">
        <f t="shared" si="15"/>
        <v>0</v>
      </c>
      <c r="M126" s="588" t="e">
        <f t="shared" si="10"/>
        <v>#N/A</v>
      </c>
      <c r="N126" s="589" t="e">
        <f t="shared" si="11"/>
        <v>#N/A</v>
      </c>
      <c r="O126" s="589">
        <f t="shared" si="16"/>
        <v>0</v>
      </c>
      <c r="P126" s="66">
        <f t="shared" si="17"/>
      </c>
    </row>
    <row r="127" spans="1:16" ht="12.75">
      <c r="A127" s="590"/>
      <c r="B127" s="592"/>
      <c r="C127" s="593"/>
      <c r="D127" s="593"/>
      <c r="E127" s="596"/>
      <c r="F127" s="596"/>
      <c r="G127" s="584" t="e">
        <f t="shared" si="9"/>
        <v>#N/A</v>
      </c>
      <c r="H127" s="600"/>
      <c r="I127" s="585">
        <f t="shared" si="12"/>
        <v>0</v>
      </c>
      <c r="J127" s="586" t="e">
        <f t="shared" si="13"/>
        <v>#DIV/0!</v>
      </c>
      <c r="K127" s="587" t="e">
        <f t="shared" si="14"/>
        <v>#N/A</v>
      </c>
      <c r="L127" s="587">
        <f t="shared" si="15"/>
        <v>0</v>
      </c>
      <c r="M127" s="588" t="e">
        <f t="shared" si="10"/>
        <v>#N/A</v>
      </c>
      <c r="N127" s="589" t="e">
        <f t="shared" si="11"/>
        <v>#N/A</v>
      </c>
      <c r="O127" s="589">
        <f t="shared" si="16"/>
        <v>0</v>
      </c>
      <c r="P127" s="66">
        <f t="shared" si="17"/>
      </c>
    </row>
    <row r="128" spans="1:16" ht="12.75">
      <c r="A128" s="591"/>
      <c r="B128" s="592"/>
      <c r="C128" s="593"/>
      <c r="D128" s="593"/>
      <c r="E128" s="596"/>
      <c r="F128" s="596"/>
      <c r="G128" s="584" t="e">
        <f t="shared" si="9"/>
        <v>#N/A</v>
      </c>
      <c r="H128" s="600"/>
      <c r="I128" s="585">
        <f t="shared" si="12"/>
        <v>0</v>
      </c>
      <c r="J128" s="586" t="e">
        <f t="shared" si="13"/>
        <v>#DIV/0!</v>
      </c>
      <c r="K128" s="587" t="e">
        <f t="shared" si="14"/>
        <v>#N/A</v>
      </c>
      <c r="L128" s="587">
        <f t="shared" si="15"/>
        <v>0</v>
      </c>
      <c r="M128" s="588" t="e">
        <f t="shared" si="10"/>
        <v>#N/A</v>
      </c>
      <c r="N128" s="589" t="e">
        <f t="shared" si="11"/>
        <v>#N/A</v>
      </c>
      <c r="O128" s="589">
        <f t="shared" si="16"/>
        <v>0</v>
      </c>
      <c r="P128" s="66">
        <f t="shared" si="17"/>
      </c>
    </row>
    <row r="129" spans="1:16" ht="12.75">
      <c r="A129" s="591"/>
      <c r="B129" s="592"/>
      <c r="C129" s="593"/>
      <c r="D129" s="593"/>
      <c r="E129" s="596"/>
      <c r="F129" s="596"/>
      <c r="G129" s="584" t="e">
        <f t="shared" si="9"/>
        <v>#N/A</v>
      </c>
      <c r="H129" s="600"/>
      <c r="I129" s="585">
        <f t="shared" si="12"/>
        <v>0</v>
      </c>
      <c r="J129" s="586" t="e">
        <f t="shared" si="13"/>
        <v>#DIV/0!</v>
      </c>
      <c r="K129" s="587" t="e">
        <f t="shared" si="14"/>
        <v>#N/A</v>
      </c>
      <c r="L129" s="587">
        <f t="shared" si="15"/>
        <v>0</v>
      </c>
      <c r="M129" s="588" t="e">
        <f t="shared" si="10"/>
        <v>#N/A</v>
      </c>
      <c r="N129" s="589" t="e">
        <f t="shared" si="11"/>
        <v>#N/A</v>
      </c>
      <c r="O129" s="589">
        <f t="shared" si="16"/>
        <v>0</v>
      </c>
      <c r="P129" s="66">
        <f t="shared" si="17"/>
      </c>
    </row>
    <row r="130" spans="1:16" ht="12.75">
      <c r="A130" s="591"/>
      <c r="B130" s="592"/>
      <c r="C130" s="599"/>
      <c r="D130" s="593"/>
      <c r="E130" s="596"/>
      <c r="F130" s="596"/>
      <c r="G130" s="584" t="e">
        <f t="shared" si="9"/>
        <v>#N/A</v>
      </c>
      <c r="H130" s="600"/>
      <c r="I130" s="585">
        <f t="shared" si="12"/>
        <v>0</v>
      </c>
      <c r="J130" s="586" t="e">
        <f t="shared" si="13"/>
        <v>#DIV/0!</v>
      </c>
      <c r="K130" s="587" t="e">
        <f t="shared" si="14"/>
        <v>#N/A</v>
      </c>
      <c r="L130" s="587">
        <f t="shared" si="15"/>
        <v>0</v>
      </c>
      <c r="M130" s="588" t="e">
        <f t="shared" si="10"/>
        <v>#N/A</v>
      </c>
      <c r="N130" s="589" t="e">
        <f t="shared" si="11"/>
        <v>#N/A</v>
      </c>
      <c r="O130" s="589">
        <f t="shared" si="16"/>
        <v>0</v>
      </c>
      <c r="P130" s="66">
        <f t="shared" si="17"/>
      </c>
    </row>
    <row r="131" spans="1:16" ht="12.75">
      <c r="A131" s="462"/>
      <c r="B131" s="592"/>
      <c r="C131" s="593"/>
      <c r="D131" s="593"/>
      <c r="E131" s="596"/>
      <c r="F131" s="596"/>
      <c r="G131" s="584" t="e">
        <f t="shared" si="9"/>
        <v>#N/A</v>
      </c>
      <c r="H131" s="600"/>
      <c r="I131" s="585">
        <f t="shared" si="12"/>
        <v>0</v>
      </c>
      <c r="J131" s="586" t="e">
        <f t="shared" si="13"/>
        <v>#DIV/0!</v>
      </c>
      <c r="K131" s="587" t="e">
        <f t="shared" si="14"/>
        <v>#N/A</v>
      </c>
      <c r="L131" s="587">
        <f t="shared" si="15"/>
        <v>0</v>
      </c>
      <c r="M131" s="588" t="e">
        <f t="shared" si="10"/>
        <v>#N/A</v>
      </c>
      <c r="N131" s="589" t="e">
        <f t="shared" si="11"/>
        <v>#N/A</v>
      </c>
      <c r="O131" s="589">
        <f t="shared" si="16"/>
        <v>0</v>
      </c>
      <c r="P131" s="66">
        <f t="shared" si="17"/>
      </c>
    </row>
    <row r="132" spans="1:16" ht="12.75">
      <c r="A132" s="591"/>
      <c r="B132" s="592"/>
      <c r="C132" s="593"/>
      <c r="D132" s="593"/>
      <c r="E132" s="596"/>
      <c r="F132" s="596"/>
      <c r="G132" s="584" t="e">
        <f t="shared" si="9"/>
        <v>#N/A</v>
      </c>
      <c r="H132" s="600"/>
      <c r="I132" s="585">
        <f t="shared" si="12"/>
        <v>0</v>
      </c>
      <c r="J132" s="586" t="e">
        <f t="shared" si="13"/>
        <v>#DIV/0!</v>
      </c>
      <c r="K132" s="587" t="e">
        <f t="shared" si="14"/>
        <v>#N/A</v>
      </c>
      <c r="L132" s="587">
        <f t="shared" si="15"/>
        <v>0</v>
      </c>
      <c r="M132" s="588" t="e">
        <f t="shared" si="10"/>
        <v>#N/A</v>
      </c>
      <c r="N132" s="589" t="e">
        <f t="shared" si="11"/>
        <v>#N/A</v>
      </c>
      <c r="O132" s="589">
        <f t="shared" si="16"/>
        <v>0</v>
      </c>
      <c r="P132" s="66">
        <f t="shared" si="17"/>
      </c>
    </row>
    <row r="133" spans="1:16" ht="12.75">
      <c r="A133" s="591"/>
      <c r="B133" s="592"/>
      <c r="C133" s="599"/>
      <c r="D133" s="593"/>
      <c r="E133" s="596"/>
      <c r="F133" s="596"/>
      <c r="G133" s="584" t="e">
        <f t="shared" si="9"/>
        <v>#N/A</v>
      </c>
      <c r="H133" s="600"/>
      <c r="I133" s="585">
        <f t="shared" si="12"/>
        <v>0</v>
      </c>
      <c r="J133" s="586" t="e">
        <f t="shared" si="13"/>
        <v>#DIV/0!</v>
      </c>
      <c r="K133" s="587" t="e">
        <f t="shared" si="14"/>
        <v>#N/A</v>
      </c>
      <c r="L133" s="587">
        <f t="shared" si="15"/>
        <v>0</v>
      </c>
      <c r="M133" s="588" t="e">
        <f t="shared" si="10"/>
        <v>#N/A</v>
      </c>
      <c r="N133" s="589" t="e">
        <f t="shared" si="11"/>
        <v>#N/A</v>
      </c>
      <c r="O133" s="589">
        <f t="shared" si="16"/>
        <v>0</v>
      </c>
      <c r="P133" s="66">
        <f t="shared" si="17"/>
      </c>
    </row>
    <row r="134" spans="1:16" ht="12.75">
      <c r="A134" s="591"/>
      <c r="B134" s="592"/>
      <c r="C134" s="593"/>
      <c r="D134" s="593"/>
      <c r="E134" s="596"/>
      <c r="F134" s="596"/>
      <c r="G134" s="584" t="e">
        <f t="shared" si="9"/>
        <v>#N/A</v>
      </c>
      <c r="H134" s="600"/>
      <c r="I134" s="585">
        <f t="shared" si="12"/>
        <v>0</v>
      </c>
      <c r="J134" s="586" t="e">
        <f t="shared" si="13"/>
        <v>#DIV/0!</v>
      </c>
      <c r="K134" s="587" t="e">
        <f t="shared" si="14"/>
        <v>#N/A</v>
      </c>
      <c r="L134" s="587">
        <f t="shared" si="15"/>
        <v>0</v>
      </c>
      <c r="M134" s="588" t="e">
        <f t="shared" si="10"/>
        <v>#N/A</v>
      </c>
      <c r="N134" s="589" t="e">
        <f t="shared" si="11"/>
        <v>#N/A</v>
      </c>
      <c r="O134" s="589">
        <f t="shared" si="16"/>
        <v>0</v>
      </c>
      <c r="P134" s="66">
        <f t="shared" si="17"/>
      </c>
    </row>
    <row r="135" spans="1:16" ht="12.75">
      <c r="A135" s="591"/>
      <c r="B135" s="592"/>
      <c r="C135" s="593"/>
      <c r="D135" s="593"/>
      <c r="E135" s="596"/>
      <c r="F135" s="596"/>
      <c r="G135" s="584" t="e">
        <f t="shared" si="9"/>
        <v>#N/A</v>
      </c>
      <c r="H135" s="600"/>
      <c r="I135" s="585">
        <f t="shared" si="12"/>
        <v>0</v>
      </c>
      <c r="J135" s="586" t="e">
        <f t="shared" si="13"/>
        <v>#DIV/0!</v>
      </c>
      <c r="K135" s="587" t="e">
        <f t="shared" si="14"/>
        <v>#N/A</v>
      </c>
      <c r="L135" s="587">
        <f t="shared" si="15"/>
        <v>0</v>
      </c>
      <c r="M135" s="588" t="e">
        <f t="shared" si="10"/>
        <v>#N/A</v>
      </c>
      <c r="N135" s="589" t="e">
        <f t="shared" si="11"/>
        <v>#N/A</v>
      </c>
      <c r="O135" s="589">
        <f t="shared" si="16"/>
        <v>0</v>
      </c>
      <c r="P135" s="66">
        <f t="shared" si="17"/>
      </c>
    </row>
    <row r="136" spans="1:16" ht="12.75">
      <c r="A136" s="591"/>
      <c r="B136" s="592"/>
      <c r="C136" s="593"/>
      <c r="D136" s="593"/>
      <c r="E136" s="596"/>
      <c r="F136" s="596"/>
      <c r="G136" s="584" t="e">
        <f t="shared" si="9"/>
        <v>#N/A</v>
      </c>
      <c r="H136" s="600"/>
      <c r="I136" s="585">
        <f t="shared" si="12"/>
        <v>0</v>
      </c>
      <c r="J136" s="586" t="e">
        <f t="shared" si="13"/>
        <v>#DIV/0!</v>
      </c>
      <c r="K136" s="587" t="e">
        <f t="shared" si="14"/>
        <v>#N/A</v>
      </c>
      <c r="L136" s="587">
        <f t="shared" si="15"/>
        <v>0</v>
      </c>
      <c r="M136" s="588" t="e">
        <f t="shared" si="10"/>
        <v>#N/A</v>
      </c>
      <c r="N136" s="589" t="e">
        <f t="shared" si="11"/>
        <v>#N/A</v>
      </c>
      <c r="O136" s="589">
        <f t="shared" si="16"/>
        <v>0</v>
      </c>
      <c r="P136" s="66">
        <f t="shared" si="17"/>
      </c>
    </row>
    <row r="137" spans="1:16" ht="12.75">
      <c r="A137" s="591"/>
      <c r="B137" s="592"/>
      <c r="C137" s="593"/>
      <c r="D137" s="593"/>
      <c r="E137" s="596"/>
      <c r="F137" s="596"/>
      <c r="G137" s="584" t="e">
        <f t="shared" si="9"/>
        <v>#N/A</v>
      </c>
      <c r="H137" s="600"/>
      <c r="I137" s="585">
        <f t="shared" si="12"/>
        <v>0</v>
      </c>
      <c r="J137" s="586" t="e">
        <f t="shared" si="13"/>
        <v>#DIV/0!</v>
      </c>
      <c r="K137" s="587" t="e">
        <f t="shared" si="14"/>
        <v>#N/A</v>
      </c>
      <c r="L137" s="587">
        <f t="shared" si="15"/>
        <v>0</v>
      </c>
      <c r="M137" s="588" t="e">
        <f t="shared" si="10"/>
        <v>#N/A</v>
      </c>
      <c r="N137" s="589" t="e">
        <f t="shared" si="11"/>
        <v>#N/A</v>
      </c>
      <c r="O137" s="589">
        <f t="shared" si="16"/>
        <v>0</v>
      </c>
      <c r="P137" s="66">
        <f t="shared" si="17"/>
      </c>
    </row>
    <row r="138" spans="1:16" ht="12.75">
      <c r="A138" s="462"/>
      <c r="B138" s="592"/>
      <c r="C138" s="593"/>
      <c r="D138" s="593"/>
      <c r="E138" s="596"/>
      <c r="F138" s="596"/>
      <c r="G138" s="584" t="e">
        <f t="shared" si="9"/>
        <v>#N/A</v>
      </c>
      <c r="H138" s="600"/>
      <c r="I138" s="585">
        <f t="shared" si="12"/>
        <v>0</v>
      </c>
      <c r="J138" s="586" t="e">
        <f t="shared" si="13"/>
        <v>#DIV/0!</v>
      </c>
      <c r="K138" s="587" t="e">
        <f t="shared" si="14"/>
        <v>#N/A</v>
      </c>
      <c r="L138" s="587">
        <f t="shared" si="15"/>
        <v>0</v>
      </c>
      <c r="M138" s="588" t="e">
        <f t="shared" si="10"/>
        <v>#N/A</v>
      </c>
      <c r="N138" s="589" t="e">
        <f t="shared" si="11"/>
        <v>#N/A</v>
      </c>
      <c r="O138" s="589">
        <f t="shared" si="16"/>
        <v>0</v>
      </c>
      <c r="P138" s="66">
        <f t="shared" si="17"/>
      </c>
    </row>
    <row r="139" spans="1:16" ht="12.75">
      <c r="A139" s="462"/>
      <c r="B139" s="592"/>
      <c r="C139" s="593"/>
      <c r="D139" s="593"/>
      <c r="E139" s="596"/>
      <c r="F139" s="596"/>
      <c r="G139" s="584" t="e">
        <f t="shared" si="9"/>
        <v>#N/A</v>
      </c>
      <c r="H139" s="600"/>
      <c r="I139" s="585">
        <f t="shared" si="12"/>
        <v>0</v>
      </c>
      <c r="J139" s="586" t="e">
        <f t="shared" si="13"/>
        <v>#DIV/0!</v>
      </c>
      <c r="K139" s="587" t="e">
        <f t="shared" si="14"/>
        <v>#N/A</v>
      </c>
      <c r="L139" s="587">
        <f t="shared" si="15"/>
        <v>0</v>
      </c>
      <c r="M139" s="588" t="e">
        <f t="shared" si="10"/>
        <v>#N/A</v>
      </c>
      <c r="N139" s="589" t="e">
        <f t="shared" si="11"/>
        <v>#N/A</v>
      </c>
      <c r="O139" s="589">
        <f t="shared" si="16"/>
        <v>0</v>
      </c>
      <c r="P139" s="66">
        <f t="shared" si="17"/>
      </c>
    </row>
    <row r="140" spans="1:16" ht="12.75">
      <c r="A140" s="590"/>
      <c r="B140" s="592"/>
      <c r="C140" s="593"/>
      <c r="D140" s="593"/>
      <c r="E140" s="596"/>
      <c r="F140" s="596"/>
      <c r="G140" s="584" t="e">
        <f t="shared" si="9"/>
        <v>#N/A</v>
      </c>
      <c r="H140" s="600"/>
      <c r="I140" s="585">
        <f t="shared" si="12"/>
        <v>0</v>
      </c>
      <c r="J140" s="586" t="e">
        <f t="shared" si="13"/>
        <v>#DIV/0!</v>
      </c>
      <c r="K140" s="587" t="e">
        <f t="shared" si="14"/>
        <v>#N/A</v>
      </c>
      <c r="L140" s="587">
        <f t="shared" si="15"/>
        <v>0</v>
      </c>
      <c r="M140" s="588" t="e">
        <f t="shared" si="10"/>
        <v>#N/A</v>
      </c>
      <c r="N140" s="589" t="e">
        <f t="shared" si="11"/>
        <v>#N/A</v>
      </c>
      <c r="O140" s="589">
        <f t="shared" si="16"/>
        <v>0</v>
      </c>
      <c r="P140" s="66">
        <f t="shared" si="17"/>
      </c>
    </row>
    <row r="141" spans="1:16" ht="12.75">
      <c r="A141" s="590"/>
      <c r="B141" s="592"/>
      <c r="C141" s="599"/>
      <c r="D141" s="593"/>
      <c r="E141" s="596"/>
      <c r="F141" s="596"/>
      <c r="G141" s="584" t="e">
        <f t="shared" si="9"/>
        <v>#N/A</v>
      </c>
      <c r="H141" s="600"/>
      <c r="I141" s="585">
        <f t="shared" si="12"/>
        <v>0</v>
      </c>
      <c r="J141" s="586" t="e">
        <f t="shared" si="13"/>
        <v>#DIV/0!</v>
      </c>
      <c r="K141" s="587" t="e">
        <f t="shared" si="14"/>
        <v>#N/A</v>
      </c>
      <c r="L141" s="587">
        <f t="shared" si="15"/>
        <v>0</v>
      </c>
      <c r="M141" s="588" t="e">
        <f t="shared" si="10"/>
        <v>#N/A</v>
      </c>
      <c r="N141" s="589" t="e">
        <f t="shared" si="11"/>
        <v>#N/A</v>
      </c>
      <c r="O141" s="589">
        <f t="shared" si="16"/>
        <v>0</v>
      </c>
      <c r="P141" s="66">
        <f t="shared" si="17"/>
      </c>
    </row>
    <row r="142" spans="1:16" ht="12.75">
      <c r="A142" s="590"/>
      <c r="B142" s="592"/>
      <c r="C142" s="593"/>
      <c r="D142" s="593"/>
      <c r="E142" s="596"/>
      <c r="F142" s="596"/>
      <c r="G142" s="584" t="e">
        <f t="shared" si="9"/>
        <v>#N/A</v>
      </c>
      <c r="H142" s="600"/>
      <c r="I142" s="585">
        <f t="shared" si="12"/>
        <v>0</v>
      </c>
      <c r="J142" s="586" t="e">
        <f t="shared" si="13"/>
        <v>#DIV/0!</v>
      </c>
      <c r="K142" s="587" t="e">
        <f t="shared" si="14"/>
        <v>#N/A</v>
      </c>
      <c r="L142" s="587">
        <f t="shared" si="15"/>
        <v>0</v>
      </c>
      <c r="M142" s="588" t="e">
        <f t="shared" si="10"/>
        <v>#N/A</v>
      </c>
      <c r="N142" s="589" t="e">
        <f t="shared" si="11"/>
        <v>#N/A</v>
      </c>
      <c r="O142" s="589">
        <f t="shared" si="16"/>
        <v>0</v>
      </c>
      <c r="P142" s="66">
        <f t="shared" si="17"/>
      </c>
    </row>
    <row r="143" spans="1:16" ht="12.75">
      <c r="A143" s="590"/>
      <c r="B143" s="592"/>
      <c r="C143" s="593"/>
      <c r="D143" s="593"/>
      <c r="E143" s="596"/>
      <c r="F143" s="596"/>
      <c r="G143" s="584" t="e">
        <f t="shared" si="9"/>
        <v>#N/A</v>
      </c>
      <c r="H143" s="600"/>
      <c r="I143" s="585">
        <f t="shared" si="12"/>
        <v>0</v>
      </c>
      <c r="J143" s="586" t="e">
        <f t="shared" si="13"/>
        <v>#DIV/0!</v>
      </c>
      <c r="K143" s="587" t="e">
        <f t="shared" si="14"/>
        <v>#N/A</v>
      </c>
      <c r="L143" s="587">
        <f t="shared" si="15"/>
        <v>0</v>
      </c>
      <c r="M143" s="588" t="e">
        <f t="shared" si="10"/>
        <v>#N/A</v>
      </c>
      <c r="N143" s="589" t="e">
        <f t="shared" si="11"/>
        <v>#N/A</v>
      </c>
      <c r="O143" s="589">
        <f t="shared" si="16"/>
        <v>0</v>
      </c>
      <c r="P143" s="66">
        <f t="shared" si="17"/>
      </c>
    </row>
    <row r="144" spans="1:16" ht="12.75">
      <c r="A144" s="590"/>
      <c r="B144" s="592"/>
      <c r="C144" s="593"/>
      <c r="D144" s="593"/>
      <c r="E144" s="596"/>
      <c r="F144" s="596"/>
      <c r="G144" s="584" t="e">
        <f t="shared" si="9"/>
        <v>#N/A</v>
      </c>
      <c r="H144" s="600"/>
      <c r="I144" s="585">
        <f t="shared" si="12"/>
        <v>0</v>
      </c>
      <c r="J144" s="586" t="e">
        <f t="shared" si="13"/>
        <v>#DIV/0!</v>
      </c>
      <c r="K144" s="587" t="e">
        <f t="shared" si="14"/>
        <v>#N/A</v>
      </c>
      <c r="L144" s="587">
        <f t="shared" si="15"/>
        <v>0</v>
      </c>
      <c r="M144" s="588" t="e">
        <f t="shared" si="10"/>
        <v>#N/A</v>
      </c>
      <c r="N144" s="589" t="e">
        <f t="shared" si="11"/>
        <v>#N/A</v>
      </c>
      <c r="O144" s="589">
        <f t="shared" si="16"/>
        <v>0</v>
      </c>
      <c r="P144" s="66">
        <f t="shared" si="17"/>
      </c>
    </row>
    <row r="145" spans="1:16" ht="12.75">
      <c r="A145" s="590"/>
      <c r="B145" s="592"/>
      <c r="C145" s="593"/>
      <c r="D145" s="593"/>
      <c r="E145" s="596"/>
      <c r="F145" s="596"/>
      <c r="G145" s="584" t="e">
        <f t="shared" si="9"/>
        <v>#N/A</v>
      </c>
      <c r="H145" s="600"/>
      <c r="I145" s="585">
        <f t="shared" si="12"/>
        <v>0</v>
      </c>
      <c r="J145" s="586" t="e">
        <f t="shared" si="13"/>
        <v>#DIV/0!</v>
      </c>
      <c r="K145" s="587" t="e">
        <f t="shared" si="14"/>
        <v>#N/A</v>
      </c>
      <c r="L145" s="587">
        <f t="shared" si="15"/>
        <v>0</v>
      </c>
      <c r="M145" s="588" t="e">
        <f t="shared" si="10"/>
        <v>#N/A</v>
      </c>
      <c r="N145" s="589" t="e">
        <f t="shared" si="11"/>
        <v>#N/A</v>
      </c>
      <c r="O145" s="589">
        <f t="shared" si="16"/>
        <v>0</v>
      </c>
      <c r="P145" s="66">
        <f t="shared" si="17"/>
      </c>
    </row>
    <row r="146" spans="1:16" ht="12.75">
      <c r="A146" s="590"/>
      <c r="B146" s="592"/>
      <c r="C146" s="593"/>
      <c r="D146" s="593"/>
      <c r="E146" s="596"/>
      <c r="F146" s="596"/>
      <c r="G146" s="584" t="e">
        <f t="shared" si="9"/>
        <v>#N/A</v>
      </c>
      <c r="H146" s="600"/>
      <c r="I146" s="585">
        <f t="shared" si="12"/>
        <v>0</v>
      </c>
      <c r="J146" s="586" t="e">
        <f t="shared" si="13"/>
        <v>#DIV/0!</v>
      </c>
      <c r="K146" s="587" t="e">
        <f t="shared" si="14"/>
        <v>#N/A</v>
      </c>
      <c r="L146" s="587">
        <f t="shared" si="15"/>
        <v>0</v>
      </c>
      <c r="M146" s="588" t="e">
        <f t="shared" si="10"/>
        <v>#N/A</v>
      </c>
      <c r="N146" s="589" t="e">
        <f t="shared" si="11"/>
        <v>#N/A</v>
      </c>
      <c r="O146" s="589">
        <f t="shared" si="16"/>
        <v>0</v>
      </c>
      <c r="P146" s="66">
        <f t="shared" si="17"/>
      </c>
    </row>
    <row r="147" spans="1:16" ht="12.75">
      <c r="A147" s="590"/>
      <c r="B147" s="592"/>
      <c r="C147" s="599"/>
      <c r="D147" s="593"/>
      <c r="E147" s="596"/>
      <c r="F147" s="596"/>
      <c r="G147" s="584" t="e">
        <f t="shared" si="9"/>
        <v>#N/A</v>
      </c>
      <c r="H147" s="600"/>
      <c r="I147" s="585">
        <f t="shared" si="12"/>
        <v>0</v>
      </c>
      <c r="J147" s="586" t="e">
        <f t="shared" si="13"/>
        <v>#DIV/0!</v>
      </c>
      <c r="K147" s="587" t="e">
        <f t="shared" si="14"/>
        <v>#N/A</v>
      </c>
      <c r="L147" s="587">
        <f t="shared" si="15"/>
        <v>0</v>
      </c>
      <c r="M147" s="588" t="e">
        <f t="shared" si="10"/>
        <v>#N/A</v>
      </c>
      <c r="N147" s="589" t="e">
        <f t="shared" si="11"/>
        <v>#N/A</v>
      </c>
      <c r="O147" s="589">
        <f t="shared" si="16"/>
        <v>0</v>
      </c>
      <c r="P147" s="66">
        <f t="shared" si="17"/>
      </c>
    </row>
    <row r="148" spans="1:16" ht="12.75">
      <c r="A148" s="590"/>
      <c r="B148" s="592"/>
      <c r="C148" s="593"/>
      <c r="D148" s="593"/>
      <c r="E148" s="596"/>
      <c r="F148" s="596"/>
      <c r="G148" s="584" t="e">
        <f t="shared" si="9"/>
        <v>#N/A</v>
      </c>
      <c r="H148" s="600"/>
      <c r="I148" s="585">
        <f t="shared" si="12"/>
        <v>0</v>
      </c>
      <c r="J148" s="586" t="e">
        <f t="shared" si="13"/>
        <v>#DIV/0!</v>
      </c>
      <c r="K148" s="587" t="e">
        <f t="shared" si="14"/>
        <v>#N/A</v>
      </c>
      <c r="L148" s="587">
        <f t="shared" si="15"/>
        <v>0</v>
      </c>
      <c r="M148" s="588" t="e">
        <f t="shared" si="10"/>
        <v>#N/A</v>
      </c>
      <c r="N148" s="589" t="e">
        <f t="shared" si="11"/>
        <v>#N/A</v>
      </c>
      <c r="O148" s="589">
        <f t="shared" si="16"/>
        <v>0</v>
      </c>
      <c r="P148" s="66">
        <f t="shared" si="17"/>
      </c>
    </row>
    <row r="149" spans="1:16" ht="12.75">
      <c r="A149" s="590"/>
      <c r="B149" s="592"/>
      <c r="C149" s="593"/>
      <c r="D149" s="593"/>
      <c r="E149" s="596"/>
      <c r="F149" s="596"/>
      <c r="G149" s="584" t="e">
        <f t="shared" si="9"/>
        <v>#N/A</v>
      </c>
      <c r="H149" s="600"/>
      <c r="I149" s="585">
        <f t="shared" si="12"/>
        <v>0</v>
      </c>
      <c r="J149" s="586" t="e">
        <f t="shared" si="13"/>
        <v>#DIV/0!</v>
      </c>
      <c r="K149" s="587" t="e">
        <f t="shared" si="14"/>
        <v>#N/A</v>
      </c>
      <c r="L149" s="587">
        <f t="shared" si="15"/>
        <v>0</v>
      </c>
      <c r="M149" s="588" t="e">
        <f t="shared" si="10"/>
        <v>#N/A</v>
      </c>
      <c r="N149" s="589" t="e">
        <f t="shared" si="11"/>
        <v>#N/A</v>
      </c>
      <c r="O149" s="589">
        <f t="shared" si="16"/>
        <v>0</v>
      </c>
      <c r="P149" s="66">
        <f t="shared" si="17"/>
      </c>
    </row>
    <row r="150" spans="1:16" ht="12.75">
      <c r="A150" s="590"/>
      <c r="B150" s="592"/>
      <c r="C150" s="593"/>
      <c r="D150" s="593"/>
      <c r="E150" s="596"/>
      <c r="F150" s="596"/>
      <c r="G150" s="584" t="e">
        <f t="shared" si="9"/>
        <v>#N/A</v>
      </c>
      <c r="H150" s="600"/>
      <c r="I150" s="585">
        <f t="shared" si="12"/>
        <v>0</v>
      </c>
      <c r="J150" s="586" t="e">
        <f t="shared" si="13"/>
        <v>#DIV/0!</v>
      </c>
      <c r="K150" s="587" t="e">
        <f t="shared" si="14"/>
        <v>#N/A</v>
      </c>
      <c r="L150" s="587">
        <f t="shared" si="15"/>
        <v>0</v>
      </c>
      <c r="M150" s="588" t="e">
        <f t="shared" si="10"/>
        <v>#N/A</v>
      </c>
      <c r="N150" s="589" t="e">
        <f t="shared" si="11"/>
        <v>#N/A</v>
      </c>
      <c r="O150" s="589">
        <f t="shared" si="16"/>
        <v>0</v>
      </c>
      <c r="P150" s="66">
        <f t="shared" si="17"/>
      </c>
    </row>
    <row r="151" spans="1:16" ht="12.75">
      <c r="A151" s="590"/>
      <c r="B151" s="592"/>
      <c r="C151" s="593"/>
      <c r="D151" s="593"/>
      <c r="E151" s="596"/>
      <c r="F151" s="596"/>
      <c r="G151" s="584" t="e">
        <f t="shared" si="9"/>
        <v>#N/A</v>
      </c>
      <c r="H151" s="600"/>
      <c r="I151" s="585">
        <f t="shared" si="12"/>
        <v>0</v>
      </c>
      <c r="J151" s="586" t="e">
        <f t="shared" si="13"/>
        <v>#DIV/0!</v>
      </c>
      <c r="K151" s="587" t="e">
        <f t="shared" si="14"/>
        <v>#N/A</v>
      </c>
      <c r="L151" s="587">
        <f t="shared" si="15"/>
        <v>0</v>
      </c>
      <c r="M151" s="588" t="e">
        <f t="shared" si="10"/>
        <v>#N/A</v>
      </c>
      <c r="N151" s="589" t="e">
        <f t="shared" si="11"/>
        <v>#N/A</v>
      </c>
      <c r="O151" s="589">
        <f t="shared" si="16"/>
        <v>0</v>
      </c>
      <c r="P151" s="66">
        <f t="shared" si="17"/>
      </c>
    </row>
    <row r="152" spans="1:16" ht="12.75">
      <c r="A152" s="590"/>
      <c r="B152" s="592"/>
      <c r="C152" s="593"/>
      <c r="D152" s="593"/>
      <c r="E152" s="596"/>
      <c r="F152" s="596"/>
      <c r="G152" s="584" t="e">
        <f t="shared" si="9"/>
        <v>#N/A</v>
      </c>
      <c r="H152" s="600"/>
      <c r="I152" s="585">
        <f t="shared" si="12"/>
        <v>0</v>
      </c>
      <c r="J152" s="586" t="e">
        <f t="shared" si="13"/>
        <v>#DIV/0!</v>
      </c>
      <c r="K152" s="587" t="e">
        <f t="shared" si="14"/>
        <v>#N/A</v>
      </c>
      <c r="L152" s="587">
        <f t="shared" si="15"/>
        <v>0</v>
      </c>
      <c r="M152" s="588" t="e">
        <f t="shared" si="10"/>
        <v>#N/A</v>
      </c>
      <c r="N152" s="589" t="e">
        <f t="shared" si="11"/>
        <v>#N/A</v>
      </c>
      <c r="O152" s="589">
        <f t="shared" si="16"/>
        <v>0</v>
      </c>
      <c r="P152" s="66">
        <f t="shared" si="17"/>
      </c>
    </row>
    <row r="153" spans="1:16" ht="12.75">
      <c r="A153" s="590"/>
      <c r="B153" s="592"/>
      <c r="C153" s="599"/>
      <c r="D153" s="593"/>
      <c r="E153" s="596"/>
      <c r="F153" s="596"/>
      <c r="G153" s="584" t="e">
        <f t="shared" si="9"/>
        <v>#N/A</v>
      </c>
      <c r="H153" s="600"/>
      <c r="I153" s="585">
        <f t="shared" si="12"/>
        <v>0</v>
      </c>
      <c r="J153" s="586" t="e">
        <f t="shared" si="13"/>
        <v>#DIV/0!</v>
      </c>
      <c r="K153" s="587" t="e">
        <f t="shared" si="14"/>
        <v>#N/A</v>
      </c>
      <c r="L153" s="587">
        <f t="shared" si="15"/>
        <v>0</v>
      </c>
      <c r="M153" s="588" t="e">
        <f t="shared" si="10"/>
        <v>#N/A</v>
      </c>
      <c r="N153" s="589" t="e">
        <f t="shared" si="11"/>
        <v>#N/A</v>
      </c>
      <c r="O153" s="589">
        <f t="shared" si="16"/>
        <v>0</v>
      </c>
      <c r="P153" s="66">
        <f t="shared" si="17"/>
      </c>
    </row>
    <row r="154" spans="1:16" ht="12.75">
      <c r="A154" s="590"/>
      <c r="B154" s="592"/>
      <c r="C154" s="593"/>
      <c r="D154" s="593"/>
      <c r="E154" s="596"/>
      <c r="F154" s="596"/>
      <c r="G154" s="584" t="e">
        <f t="shared" si="9"/>
        <v>#N/A</v>
      </c>
      <c r="H154" s="600"/>
      <c r="I154" s="585">
        <f t="shared" si="12"/>
        <v>0</v>
      </c>
      <c r="J154" s="586" t="e">
        <f t="shared" si="13"/>
        <v>#DIV/0!</v>
      </c>
      <c r="K154" s="587" t="e">
        <f t="shared" si="14"/>
        <v>#N/A</v>
      </c>
      <c r="L154" s="587">
        <f t="shared" si="15"/>
        <v>0</v>
      </c>
      <c r="M154" s="588" t="e">
        <f t="shared" si="10"/>
        <v>#N/A</v>
      </c>
      <c r="N154" s="589" t="e">
        <f t="shared" si="11"/>
        <v>#N/A</v>
      </c>
      <c r="O154" s="589">
        <f t="shared" si="16"/>
        <v>0</v>
      </c>
      <c r="P154" s="66">
        <f t="shared" si="17"/>
      </c>
    </row>
    <row r="155" spans="1:16" ht="12.75">
      <c r="A155" s="590"/>
      <c r="B155" s="592"/>
      <c r="C155" s="593"/>
      <c r="D155" s="593"/>
      <c r="E155" s="596"/>
      <c r="F155" s="596"/>
      <c r="G155" s="584" t="e">
        <f t="shared" si="9"/>
        <v>#N/A</v>
      </c>
      <c r="H155" s="600"/>
      <c r="I155" s="585">
        <f t="shared" si="12"/>
        <v>0</v>
      </c>
      <c r="J155" s="586" t="e">
        <f t="shared" si="13"/>
        <v>#DIV/0!</v>
      </c>
      <c r="K155" s="587" t="e">
        <f t="shared" si="14"/>
        <v>#N/A</v>
      </c>
      <c r="L155" s="587">
        <f t="shared" si="15"/>
        <v>0</v>
      </c>
      <c r="M155" s="588" t="e">
        <f t="shared" si="10"/>
        <v>#N/A</v>
      </c>
      <c r="N155" s="589" t="e">
        <f t="shared" si="11"/>
        <v>#N/A</v>
      </c>
      <c r="O155" s="589">
        <f t="shared" si="16"/>
        <v>0</v>
      </c>
      <c r="P155" s="66">
        <f t="shared" si="17"/>
      </c>
    </row>
    <row r="156" spans="1:16" ht="12.75">
      <c r="A156" s="590"/>
      <c r="B156" s="592"/>
      <c r="C156" s="593"/>
      <c r="D156" s="593"/>
      <c r="E156" s="596"/>
      <c r="F156" s="596"/>
      <c r="G156" s="584" t="e">
        <f aca="true" t="shared" si="18" ref="G156:G219">LOOKUP(F156,$I$2:$I$15,$J$2:$J$15)</f>
        <v>#N/A</v>
      </c>
      <c r="H156" s="600"/>
      <c r="I156" s="585">
        <f t="shared" si="12"/>
        <v>0</v>
      </c>
      <c r="J156" s="586" t="e">
        <f t="shared" si="13"/>
        <v>#DIV/0!</v>
      </c>
      <c r="K156" s="587" t="e">
        <f t="shared" si="14"/>
        <v>#N/A</v>
      </c>
      <c r="L156" s="587">
        <f t="shared" si="15"/>
        <v>0</v>
      </c>
      <c r="M156" s="588" t="e">
        <f aca="true" t="shared" si="19" ref="M156:M219">IF(D156="Exit Signs","NA",E156*LOOKUP(F156,$I$2:$I$24,$K$2:$K$24)/B156)</f>
        <v>#N/A</v>
      </c>
      <c r="N156" s="589" t="e">
        <f aca="true" t="shared" si="20" ref="N156:N219">LOOKUP(D156,$T$2:$T$13,$V$2:$V$13)</f>
        <v>#N/A</v>
      </c>
      <c r="O156" s="589">
        <f t="shared" si="16"/>
        <v>0</v>
      </c>
      <c r="P156" s="66">
        <f t="shared" si="17"/>
      </c>
    </row>
    <row r="157" spans="1:16" ht="12.75">
      <c r="A157" s="590"/>
      <c r="B157" s="592"/>
      <c r="C157" s="593"/>
      <c r="D157" s="593"/>
      <c r="E157" s="596"/>
      <c r="F157" s="596"/>
      <c r="G157" s="584" t="e">
        <f t="shared" si="18"/>
        <v>#N/A</v>
      </c>
      <c r="H157" s="600"/>
      <c r="I157" s="585">
        <f aca="true" t="shared" si="21" ref="I157:I220">IF(E157&gt;0,E157*G157*H157,0)</f>
        <v>0</v>
      </c>
      <c r="J157" s="586" t="e">
        <f aca="true" t="shared" si="22" ref="J157:J220">IF(D157="Exit Signs","convert to kW",I157/(B157*H157))</f>
        <v>#DIV/0!</v>
      </c>
      <c r="K157" s="587" t="e">
        <f aca="true" t="shared" si="23" ref="K157:K220">IF($C$15="Space-By-Space (9.6.1)",LOOKUP(D157,$T$2:$T$13,$U$2:$U$13),0.7)</f>
        <v>#N/A</v>
      </c>
      <c r="L157" s="587">
        <f aca="true" t="shared" si="24" ref="L157:L220">IF(D157="Exit Signs",5*E157,IF(B157&gt;0,K157*B157,0))</f>
        <v>0</v>
      </c>
      <c r="M157" s="588" t="e">
        <f t="shared" si="19"/>
        <v>#N/A</v>
      </c>
      <c r="N157" s="589" t="e">
        <f t="shared" si="20"/>
        <v>#N/A</v>
      </c>
      <c r="O157" s="589">
        <f aca="true" t="shared" si="25" ref="O157:O220">B157*H157</f>
        <v>0</v>
      </c>
      <c r="P157" s="66">
        <f aca="true" t="shared" si="26" ref="P157:P220">IF(E157&gt;0,IF(M157&lt;N157,"Insufficient lighting to meet IESNA footcandle recommendations.",""),"")</f>
      </c>
    </row>
    <row r="158" spans="1:16" ht="12.75">
      <c r="A158" s="590"/>
      <c r="B158" s="592"/>
      <c r="C158" s="593"/>
      <c r="D158" s="593"/>
      <c r="E158" s="596"/>
      <c r="F158" s="596"/>
      <c r="G158" s="584" t="e">
        <f t="shared" si="18"/>
        <v>#N/A</v>
      </c>
      <c r="H158" s="600"/>
      <c r="I158" s="585">
        <f t="shared" si="21"/>
        <v>0</v>
      </c>
      <c r="J158" s="586" t="e">
        <f t="shared" si="22"/>
        <v>#DIV/0!</v>
      </c>
      <c r="K158" s="587" t="e">
        <f t="shared" si="23"/>
        <v>#N/A</v>
      </c>
      <c r="L158" s="587">
        <f t="shared" si="24"/>
        <v>0</v>
      </c>
      <c r="M158" s="588" t="e">
        <f t="shared" si="19"/>
        <v>#N/A</v>
      </c>
      <c r="N158" s="589" t="e">
        <f t="shared" si="20"/>
        <v>#N/A</v>
      </c>
      <c r="O158" s="589">
        <f t="shared" si="25"/>
        <v>0</v>
      </c>
      <c r="P158" s="66">
        <f t="shared" si="26"/>
      </c>
    </row>
    <row r="159" spans="1:16" ht="12.75">
      <c r="A159" s="590"/>
      <c r="B159" s="592"/>
      <c r="C159" s="599"/>
      <c r="D159" s="593"/>
      <c r="E159" s="596"/>
      <c r="F159" s="596"/>
      <c r="G159" s="584" t="e">
        <f t="shared" si="18"/>
        <v>#N/A</v>
      </c>
      <c r="H159" s="600"/>
      <c r="I159" s="585">
        <f t="shared" si="21"/>
        <v>0</v>
      </c>
      <c r="J159" s="586" t="e">
        <f t="shared" si="22"/>
        <v>#DIV/0!</v>
      </c>
      <c r="K159" s="587" t="e">
        <f t="shared" si="23"/>
        <v>#N/A</v>
      </c>
      <c r="L159" s="587">
        <f t="shared" si="24"/>
        <v>0</v>
      </c>
      <c r="M159" s="588" t="e">
        <f t="shared" si="19"/>
        <v>#N/A</v>
      </c>
      <c r="N159" s="589" t="e">
        <f t="shared" si="20"/>
        <v>#N/A</v>
      </c>
      <c r="O159" s="589">
        <f t="shared" si="25"/>
        <v>0</v>
      </c>
      <c r="P159" s="66">
        <f t="shared" si="26"/>
      </c>
    </row>
    <row r="160" spans="1:16" ht="12.75">
      <c r="A160" s="590"/>
      <c r="B160" s="592"/>
      <c r="C160" s="593"/>
      <c r="D160" s="593"/>
      <c r="E160" s="596"/>
      <c r="F160" s="596"/>
      <c r="G160" s="584" t="e">
        <f t="shared" si="18"/>
        <v>#N/A</v>
      </c>
      <c r="H160" s="600"/>
      <c r="I160" s="585">
        <f t="shared" si="21"/>
        <v>0</v>
      </c>
      <c r="J160" s="586" t="e">
        <f t="shared" si="22"/>
        <v>#DIV/0!</v>
      </c>
      <c r="K160" s="587" t="e">
        <f t="shared" si="23"/>
        <v>#N/A</v>
      </c>
      <c r="L160" s="587">
        <f t="shared" si="24"/>
        <v>0</v>
      </c>
      <c r="M160" s="588" t="e">
        <f t="shared" si="19"/>
        <v>#N/A</v>
      </c>
      <c r="N160" s="589" t="e">
        <f t="shared" si="20"/>
        <v>#N/A</v>
      </c>
      <c r="O160" s="589">
        <f t="shared" si="25"/>
        <v>0</v>
      </c>
      <c r="P160" s="66">
        <f t="shared" si="26"/>
      </c>
    </row>
    <row r="161" spans="1:16" ht="12.75">
      <c r="A161" s="590"/>
      <c r="B161" s="592"/>
      <c r="C161" s="593"/>
      <c r="D161" s="593"/>
      <c r="E161" s="596"/>
      <c r="F161" s="596"/>
      <c r="G161" s="584" t="e">
        <f t="shared" si="18"/>
        <v>#N/A</v>
      </c>
      <c r="H161" s="600"/>
      <c r="I161" s="585">
        <f t="shared" si="21"/>
        <v>0</v>
      </c>
      <c r="J161" s="586" t="e">
        <f t="shared" si="22"/>
        <v>#DIV/0!</v>
      </c>
      <c r="K161" s="587" t="e">
        <f t="shared" si="23"/>
        <v>#N/A</v>
      </c>
      <c r="L161" s="587">
        <f t="shared" si="24"/>
        <v>0</v>
      </c>
      <c r="M161" s="588" t="e">
        <f t="shared" si="19"/>
        <v>#N/A</v>
      </c>
      <c r="N161" s="589" t="e">
        <f t="shared" si="20"/>
        <v>#N/A</v>
      </c>
      <c r="O161" s="589">
        <f t="shared" si="25"/>
        <v>0</v>
      </c>
      <c r="P161" s="66">
        <f t="shared" si="26"/>
      </c>
    </row>
    <row r="162" spans="1:16" ht="12.75">
      <c r="A162" s="590"/>
      <c r="B162" s="592"/>
      <c r="C162" s="593"/>
      <c r="D162" s="593"/>
      <c r="E162" s="596"/>
      <c r="F162" s="596"/>
      <c r="G162" s="584" t="e">
        <f t="shared" si="18"/>
        <v>#N/A</v>
      </c>
      <c r="H162" s="600"/>
      <c r="I162" s="585">
        <f t="shared" si="21"/>
        <v>0</v>
      </c>
      <c r="J162" s="586" t="e">
        <f t="shared" si="22"/>
        <v>#DIV/0!</v>
      </c>
      <c r="K162" s="587" t="e">
        <f t="shared" si="23"/>
        <v>#N/A</v>
      </c>
      <c r="L162" s="587">
        <f t="shared" si="24"/>
        <v>0</v>
      </c>
      <c r="M162" s="588" t="e">
        <f t="shared" si="19"/>
        <v>#N/A</v>
      </c>
      <c r="N162" s="589" t="e">
        <f t="shared" si="20"/>
        <v>#N/A</v>
      </c>
      <c r="O162" s="589">
        <f t="shared" si="25"/>
        <v>0</v>
      </c>
      <c r="P162" s="66">
        <f t="shared" si="26"/>
      </c>
    </row>
    <row r="163" spans="1:16" ht="12.75">
      <c r="A163" s="590"/>
      <c r="B163" s="592"/>
      <c r="C163" s="593"/>
      <c r="D163" s="593"/>
      <c r="E163" s="596"/>
      <c r="F163" s="596"/>
      <c r="G163" s="584" t="e">
        <f t="shared" si="18"/>
        <v>#N/A</v>
      </c>
      <c r="H163" s="600"/>
      <c r="I163" s="585">
        <f t="shared" si="21"/>
        <v>0</v>
      </c>
      <c r="J163" s="586" t="e">
        <f t="shared" si="22"/>
        <v>#DIV/0!</v>
      </c>
      <c r="K163" s="587" t="e">
        <f t="shared" si="23"/>
        <v>#N/A</v>
      </c>
      <c r="L163" s="587">
        <f t="shared" si="24"/>
        <v>0</v>
      </c>
      <c r="M163" s="588" t="e">
        <f t="shared" si="19"/>
        <v>#N/A</v>
      </c>
      <c r="N163" s="589" t="e">
        <f t="shared" si="20"/>
        <v>#N/A</v>
      </c>
      <c r="O163" s="589">
        <f t="shared" si="25"/>
        <v>0</v>
      </c>
      <c r="P163" s="66">
        <f t="shared" si="26"/>
      </c>
    </row>
    <row r="164" spans="1:16" ht="12.75">
      <c r="A164" s="590"/>
      <c r="B164" s="592"/>
      <c r="C164" s="593"/>
      <c r="D164" s="593"/>
      <c r="E164" s="596"/>
      <c r="F164" s="596"/>
      <c r="G164" s="584" t="e">
        <f t="shared" si="18"/>
        <v>#N/A</v>
      </c>
      <c r="H164" s="600"/>
      <c r="I164" s="585">
        <f t="shared" si="21"/>
        <v>0</v>
      </c>
      <c r="J164" s="586" t="e">
        <f t="shared" si="22"/>
        <v>#DIV/0!</v>
      </c>
      <c r="K164" s="587" t="e">
        <f t="shared" si="23"/>
        <v>#N/A</v>
      </c>
      <c r="L164" s="587">
        <f t="shared" si="24"/>
        <v>0</v>
      </c>
      <c r="M164" s="588" t="e">
        <f t="shared" si="19"/>
        <v>#N/A</v>
      </c>
      <c r="N164" s="589" t="e">
        <f t="shared" si="20"/>
        <v>#N/A</v>
      </c>
      <c r="O164" s="589">
        <f t="shared" si="25"/>
        <v>0</v>
      </c>
      <c r="P164" s="66">
        <f t="shared" si="26"/>
      </c>
    </row>
    <row r="165" spans="1:16" ht="12.75">
      <c r="A165" s="590"/>
      <c r="B165" s="592"/>
      <c r="C165" s="599"/>
      <c r="D165" s="593"/>
      <c r="E165" s="596"/>
      <c r="F165" s="596"/>
      <c r="G165" s="584" t="e">
        <f t="shared" si="18"/>
        <v>#N/A</v>
      </c>
      <c r="H165" s="600"/>
      <c r="I165" s="585">
        <f t="shared" si="21"/>
        <v>0</v>
      </c>
      <c r="J165" s="586" t="e">
        <f t="shared" si="22"/>
        <v>#DIV/0!</v>
      </c>
      <c r="K165" s="587" t="e">
        <f t="shared" si="23"/>
        <v>#N/A</v>
      </c>
      <c r="L165" s="587">
        <f t="shared" si="24"/>
        <v>0</v>
      </c>
      <c r="M165" s="588" t="e">
        <f t="shared" si="19"/>
        <v>#N/A</v>
      </c>
      <c r="N165" s="589" t="e">
        <f t="shared" si="20"/>
        <v>#N/A</v>
      </c>
      <c r="O165" s="589">
        <f t="shared" si="25"/>
        <v>0</v>
      </c>
      <c r="P165" s="66">
        <f t="shared" si="26"/>
      </c>
    </row>
    <row r="166" spans="1:16" ht="12.75">
      <c r="A166" s="590"/>
      <c r="B166" s="592"/>
      <c r="C166" s="593"/>
      <c r="D166" s="593"/>
      <c r="E166" s="596"/>
      <c r="F166" s="596"/>
      <c r="G166" s="584" t="e">
        <f t="shared" si="18"/>
        <v>#N/A</v>
      </c>
      <c r="H166" s="600"/>
      <c r="I166" s="585">
        <f t="shared" si="21"/>
        <v>0</v>
      </c>
      <c r="J166" s="586" t="e">
        <f t="shared" si="22"/>
        <v>#DIV/0!</v>
      </c>
      <c r="K166" s="587" t="e">
        <f t="shared" si="23"/>
        <v>#N/A</v>
      </c>
      <c r="L166" s="587">
        <f t="shared" si="24"/>
        <v>0</v>
      </c>
      <c r="M166" s="588" t="e">
        <f t="shared" si="19"/>
        <v>#N/A</v>
      </c>
      <c r="N166" s="589" t="e">
        <f t="shared" si="20"/>
        <v>#N/A</v>
      </c>
      <c r="O166" s="589">
        <f t="shared" si="25"/>
        <v>0</v>
      </c>
      <c r="P166" s="66">
        <f t="shared" si="26"/>
      </c>
    </row>
    <row r="167" spans="1:16" ht="12.75">
      <c r="A167" s="590"/>
      <c r="B167" s="592"/>
      <c r="C167" s="593"/>
      <c r="D167" s="593"/>
      <c r="E167" s="596"/>
      <c r="F167" s="596"/>
      <c r="G167" s="584" t="e">
        <f t="shared" si="18"/>
        <v>#N/A</v>
      </c>
      <c r="H167" s="600"/>
      <c r="I167" s="585">
        <f t="shared" si="21"/>
        <v>0</v>
      </c>
      <c r="J167" s="586" t="e">
        <f t="shared" si="22"/>
        <v>#DIV/0!</v>
      </c>
      <c r="K167" s="587" t="e">
        <f t="shared" si="23"/>
        <v>#N/A</v>
      </c>
      <c r="L167" s="587">
        <f t="shared" si="24"/>
        <v>0</v>
      </c>
      <c r="M167" s="588" t="e">
        <f t="shared" si="19"/>
        <v>#N/A</v>
      </c>
      <c r="N167" s="589" t="e">
        <f t="shared" si="20"/>
        <v>#N/A</v>
      </c>
      <c r="O167" s="589">
        <f t="shared" si="25"/>
        <v>0</v>
      </c>
      <c r="P167" s="66">
        <f t="shared" si="26"/>
      </c>
    </row>
    <row r="168" spans="1:16" ht="12.75">
      <c r="A168" s="590"/>
      <c r="B168" s="592"/>
      <c r="C168" s="593"/>
      <c r="D168" s="593"/>
      <c r="E168" s="596"/>
      <c r="F168" s="596"/>
      <c r="G168" s="584" t="e">
        <f t="shared" si="18"/>
        <v>#N/A</v>
      </c>
      <c r="H168" s="600"/>
      <c r="I168" s="585">
        <f t="shared" si="21"/>
        <v>0</v>
      </c>
      <c r="J168" s="586" t="e">
        <f t="shared" si="22"/>
        <v>#DIV/0!</v>
      </c>
      <c r="K168" s="587" t="e">
        <f t="shared" si="23"/>
        <v>#N/A</v>
      </c>
      <c r="L168" s="587">
        <f t="shared" si="24"/>
        <v>0</v>
      </c>
      <c r="M168" s="588" t="e">
        <f t="shared" si="19"/>
        <v>#N/A</v>
      </c>
      <c r="N168" s="589" t="e">
        <f t="shared" si="20"/>
        <v>#N/A</v>
      </c>
      <c r="O168" s="589">
        <f t="shared" si="25"/>
        <v>0</v>
      </c>
      <c r="P168" s="66">
        <f t="shared" si="26"/>
      </c>
    </row>
    <row r="169" spans="1:16" ht="12.75">
      <c r="A169" s="590"/>
      <c r="B169" s="592"/>
      <c r="C169" s="593"/>
      <c r="D169" s="593"/>
      <c r="E169" s="596"/>
      <c r="F169" s="596"/>
      <c r="G169" s="584" t="e">
        <f t="shared" si="18"/>
        <v>#N/A</v>
      </c>
      <c r="H169" s="600"/>
      <c r="I169" s="585">
        <f t="shared" si="21"/>
        <v>0</v>
      </c>
      <c r="J169" s="586" t="e">
        <f t="shared" si="22"/>
        <v>#DIV/0!</v>
      </c>
      <c r="K169" s="587" t="e">
        <f t="shared" si="23"/>
        <v>#N/A</v>
      </c>
      <c r="L169" s="587">
        <f t="shared" si="24"/>
        <v>0</v>
      </c>
      <c r="M169" s="588" t="e">
        <f t="shared" si="19"/>
        <v>#N/A</v>
      </c>
      <c r="N169" s="589" t="e">
        <f t="shared" si="20"/>
        <v>#N/A</v>
      </c>
      <c r="O169" s="589">
        <f t="shared" si="25"/>
        <v>0</v>
      </c>
      <c r="P169" s="66">
        <f t="shared" si="26"/>
      </c>
    </row>
    <row r="170" spans="1:16" ht="12.75">
      <c r="A170" s="590"/>
      <c r="B170" s="592"/>
      <c r="C170" s="593"/>
      <c r="D170" s="593"/>
      <c r="E170" s="596"/>
      <c r="F170" s="596"/>
      <c r="G170" s="584" t="e">
        <f t="shared" si="18"/>
        <v>#N/A</v>
      </c>
      <c r="H170" s="600"/>
      <c r="I170" s="585">
        <f t="shared" si="21"/>
        <v>0</v>
      </c>
      <c r="J170" s="586" t="e">
        <f t="shared" si="22"/>
        <v>#DIV/0!</v>
      </c>
      <c r="K170" s="587" t="e">
        <f t="shared" si="23"/>
        <v>#N/A</v>
      </c>
      <c r="L170" s="587">
        <f t="shared" si="24"/>
        <v>0</v>
      </c>
      <c r="M170" s="588" t="e">
        <f t="shared" si="19"/>
        <v>#N/A</v>
      </c>
      <c r="N170" s="589" t="e">
        <f t="shared" si="20"/>
        <v>#N/A</v>
      </c>
      <c r="O170" s="589">
        <f t="shared" si="25"/>
        <v>0</v>
      </c>
      <c r="P170" s="66">
        <f t="shared" si="26"/>
      </c>
    </row>
    <row r="171" spans="1:16" ht="12.75">
      <c r="A171" s="590"/>
      <c r="B171" s="592"/>
      <c r="C171" s="599"/>
      <c r="D171" s="593"/>
      <c r="E171" s="596"/>
      <c r="F171" s="596"/>
      <c r="G171" s="584" t="e">
        <f t="shared" si="18"/>
        <v>#N/A</v>
      </c>
      <c r="H171" s="600"/>
      <c r="I171" s="585">
        <f t="shared" si="21"/>
        <v>0</v>
      </c>
      <c r="J171" s="586" t="e">
        <f t="shared" si="22"/>
        <v>#DIV/0!</v>
      </c>
      <c r="K171" s="587" t="e">
        <f t="shared" si="23"/>
        <v>#N/A</v>
      </c>
      <c r="L171" s="587">
        <f t="shared" si="24"/>
        <v>0</v>
      </c>
      <c r="M171" s="588" t="e">
        <f t="shared" si="19"/>
        <v>#N/A</v>
      </c>
      <c r="N171" s="589" t="e">
        <f t="shared" si="20"/>
        <v>#N/A</v>
      </c>
      <c r="O171" s="589">
        <f t="shared" si="25"/>
        <v>0</v>
      </c>
      <c r="P171" s="66">
        <f t="shared" si="26"/>
      </c>
    </row>
    <row r="172" spans="1:16" ht="12.75">
      <c r="A172" s="590"/>
      <c r="B172" s="592"/>
      <c r="C172" s="593"/>
      <c r="D172" s="593"/>
      <c r="E172" s="596"/>
      <c r="F172" s="596"/>
      <c r="G172" s="584" t="e">
        <f t="shared" si="18"/>
        <v>#N/A</v>
      </c>
      <c r="H172" s="600"/>
      <c r="I172" s="585">
        <f t="shared" si="21"/>
        <v>0</v>
      </c>
      <c r="J172" s="586" t="e">
        <f t="shared" si="22"/>
        <v>#DIV/0!</v>
      </c>
      <c r="K172" s="587" t="e">
        <f t="shared" si="23"/>
        <v>#N/A</v>
      </c>
      <c r="L172" s="587">
        <f t="shared" si="24"/>
        <v>0</v>
      </c>
      <c r="M172" s="588" t="e">
        <f t="shared" si="19"/>
        <v>#N/A</v>
      </c>
      <c r="N172" s="589" t="e">
        <f t="shared" si="20"/>
        <v>#N/A</v>
      </c>
      <c r="O172" s="589">
        <f t="shared" si="25"/>
        <v>0</v>
      </c>
      <c r="P172" s="66">
        <f t="shared" si="26"/>
      </c>
    </row>
    <row r="173" spans="1:16" ht="12.75">
      <c r="A173" s="590"/>
      <c r="B173" s="592"/>
      <c r="C173" s="593"/>
      <c r="D173" s="593"/>
      <c r="E173" s="596"/>
      <c r="F173" s="596"/>
      <c r="G173" s="584" t="e">
        <f t="shared" si="18"/>
        <v>#N/A</v>
      </c>
      <c r="H173" s="600"/>
      <c r="I173" s="585">
        <f t="shared" si="21"/>
        <v>0</v>
      </c>
      <c r="J173" s="586" t="e">
        <f t="shared" si="22"/>
        <v>#DIV/0!</v>
      </c>
      <c r="K173" s="587" t="e">
        <f t="shared" si="23"/>
        <v>#N/A</v>
      </c>
      <c r="L173" s="587">
        <f t="shared" si="24"/>
        <v>0</v>
      </c>
      <c r="M173" s="588" t="e">
        <f t="shared" si="19"/>
        <v>#N/A</v>
      </c>
      <c r="N173" s="589" t="e">
        <f t="shared" si="20"/>
        <v>#N/A</v>
      </c>
      <c r="O173" s="589">
        <f t="shared" si="25"/>
        <v>0</v>
      </c>
      <c r="P173" s="66">
        <f t="shared" si="26"/>
      </c>
    </row>
    <row r="174" spans="1:16" ht="12.75">
      <c r="A174" s="590"/>
      <c r="B174" s="592"/>
      <c r="C174" s="593"/>
      <c r="D174" s="593"/>
      <c r="E174" s="596"/>
      <c r="F174" s="596"/>
      <c r="G174" s="584" t="e">
        <f t="shared" si="18"/>
        <v>#N/A</v>
      </c>
      <c r="H174" s="600"/>
      <c r="I174" s="585">
        <f t="shared" si="21"/>
        <v>0</v>
      </c>
      <c r="J174" s="586" t="e">
        <f t="shared" si="22"/>
        <v>#DIV/0!</v>
      </c>
      <c r="K174" s="587" t="e">
        <f t="shared" si="23"/>
        <v>#N/A</v>
      </c>
      <c r="L174" s="587">
        <f t="shared" si="24"/>
        <v>0</v>
      </c>
      <c r="M174" s="588" t="e">
        <f t="shared" si="19"/>
        <v>#N/A</v>
      </c>
      <c r="N174" s="589" t="e">
        <f t="shared" si="20"/>
        <v>#N/A</v>
      </c>
      <c r="O174" s="589">
        <f t="shared" si="25"/>
        <v>0</v>
      </c>
      <c r="P174" s="66">
        <f t="shared" si="26"/>
      </c>
    </row>
    <row r="175" spans="1:16" ht="12.75">
      <c r="A175" s="590"/>
      <c r="B175" s="592"/>
      <c r="C175" s="593"/>
      <c r="D175" s="593"/>
      <c r="E175" s="596"/>
      <c r="F175" s="596"/>
      <c r="G175" s="584" t="e">
        <f t="shared" si="18"/>
        <v>#N/A</v>
      </c>
      <c r="H175" s="600"/>
      <c r="I175" s="585">
        <f t="shared" si="21"/>
        <v>0</v>
      </c>
      <c r="J175" s="586" t="e">
        <f t="shared" si="22"/>
        <v>#DIV/0!</v>
      </c>
      <c r="K175" s="587" t="e">
        <f t="shared" si="23"/>
        <v>#N/A</v>
      </c>
      <c r="L175" s="587">
        <f t="shared" si="24"/>
        <v>0</v>
      </c>
      <c r="M175" s="588" t="e">
        <f t="shared" si="19"/>
        <v>#N/A</v>
      </c>
      <c r="N175" s="589" t="e">
        <f t="shared" si="20"/>
        <v>#N/A</v>
      </c>
      <c r="O175" s="589">
        <f t="shared" si="25"/>
        <v>0</v>
      </c>
      <c r="P175" s="66">
        <f t="shared" si="26"/>
      </c>
    </row>
    <row r="176" spans="1:16" ht="12.75">
      <c r="A176" s="590"/>
      <c r="B176" s="592"/>
      <c r="C176" s="593"/>
      <c r="D176" s="593"/>
      <c r="E176" s="596"/>
      <c r="F176" s="596"/>
      <c r="G176" s="584" t="e">
        <f t="shared" si="18"/>
        <v>#N/A</v>
      </c>
      <c r="H176" s="600"/>
      <c r="I176" s="585">
        <f t="shared" si="21"/>
        <v>0</v>
      </c>
      <c r="J176" s="586" t="e">
        <f t="shared" si="22"/>
        <v>#DIV/0!</v>
      </c>
      <c r="K176" s="587" t="e">
        <f t="shared" si="23"/>
        <v>#N/A</v>
      </c>
      <c r="L176" s="587">
        <f t="shared" si="24"/>
        <v>0</v>
      </c>
      <c r="M176" s="588" t="e">
        <f t="shared" si="19"/>
        <v>#N/A</v>
      </c>
      <c r="N176" s="589" t="e">
        <f t="shared" si="20"/>
        <v>#N/A</v>
      </c>
      <c r="O176" s="589">
        <f t="shared" si="25"/>
        <v>0</v>
      </c>
      <c r="P176" s="66">
        <f t="shared" si="26"/>
      </c>
    </row>
    <row r="177" spans="1:16" ht="12.75">
      <c r="A177" s="590"/>
      <c r="B177" s="592"/>
      <c r="C177" s="599"/>
      <c r="D177" s="593"/>
      <c r="E177" s="596"/>
      <c r="F177" s="596"/>
      <c r="G177" s="584" t="e">
        <f t="shared" si="18"/>
        <v>#N/A</v>
      </c>
      <c r="H177" s="600"/>
      <c r="I177" s="585">
        <f t="shared" si="21"/>
        <v>0</v>
      </c>
      <c r="J177" s="586" t="e">
        <f t="shared" si="22"/>
        <v>#DIV/0!</v>
      </c>
      <c r="K177" s="587" t="e">
        <f t="shared" si="23"/>
        <v>#N/A</v>
      </c>
      <c r="L177" s="587">
        <f t="shared" si="24"/>
        <v>0</v>
      </c>
      <c r="M177" s="588" t="e">
        <f t="shared" si="19"/>
        <v>#N/A</v>
      </c>
      <c r="N177" s="589" t="e">
        <f t="shared" si="20"/>
        <v>#N/A</v>
      </c>
      <c r="O177" s="589">
        <f t="shared" si="25"/>
        <v>0</v>
      </c>
      <c r="P177" s="66">
        <f t="shared" si="26"/>
      </c>
    </row>
    <row r="178" spans="1:16" ht="12.75">
      <c r="A178" s="590"/>
      <c r="B178" s="592"/>
      <c r="C178" s="593"/>
      <c r="D178" s="593"/>
      <c r="E178" s="596"/>
      <c r="F178" s="596"/>
      <c r="G178" s="584" t="e">
        <f t="shared" si="18"/>
        <v>#N/A</v>
      </c>
      <c r="H178" s="600"/>
      <c r="I178" s="585">
        <f t="shared" si="21"/>
        <v>0</v>
      </c>
      <c r="J178" s="586" t="e">
        <f t="shared" si="22"/>
        <v>#DIV/0!</v>
      </c>
      <c r="K178" s="587" t="e">
        <f t="shared" si="23"/>
        <v>#N/A</v>
      </c>
      <c r="L178" s="587">
        <f t="shared" si="24"/>
        <v>0</v>
      </c>
      <c r="M178" s="588" t="e">
        <f t="shared" si="19"/>
        <v>#N/A</v>
      </c>
      <c r="N178" s="589" t="e">
        <f t="shared" si="20"/>
        <v>#N/A</v>
      </c>
      <c r="O178" s="589">
        <f t="shared" si="25"/>
        <v>0</v>
      </c>
      <c r="P178" s="66">
        <f t="shared" si="26"/>
      </c>
    </row>
    <row r="179" spans="1:16" ht="12.75">
      <c r="A179" s="590"/>
      <c r="B179" s="592"/>
      <c r="C179" s="593"/>
      <c r="D179" s="593"/>
      <c r="E179" s="596"/>
      <c r="F179" s="596"/>
      <c r="G179" s="584" t="e">
        <f t="shared" si="18"/>
        <v>#N/A</v>
      </c>
      <c r="H179" s="600"/>
      <c r="I179" s="585">
        <f t="shared" si="21"/>
        <v>0</v>
      </c>
      <c r="J179" s="586" t="e">
        <f t="shared" si="22"/>
        <v>#DIV/0!</v>
      </c>
      <c r="K179" s="587" t="e">
        <f t="shared" si="23"/>
        <v>#N/A</v>
      </c>
      <c r="L179" s="587">
        <f t="shared" si="24"/>
        <v>0</v>
      </c>
      <c r="M179" s="588" t="e">
        <f t="shared" si="19"/>
        <v>#N/A</v>
      </c>
      <c r="N179" s="589" t="e">
        <f t="shared" si="20"/>
        <v>#N/A</v>
      </c>
      <c r="O179" s="589">
        <f t="shared" si="25"/>
        <v>0</v>
      </c>
      <c r="P179" s="66">
        <f t="shared" si="26"/>
      </c>
    </row>
    <row r="180" spans="1:16" ht="12.75">
      <c r="A180" s="590"/>
      <c r="B180" s="592"/>
      <c r="C180" s="593"/>
      <c r="D180" s="593"/>
      <c r="E180" s="596"/>
      <c r="F180" s="596"/>
      <c r="G180" s="584" t="e">
        <f t="shared" si="18"/>
        <v>#N/A</v>
      </c>
      <c r="H180" s="600"/>
      <c r="I180" s="585">
        <f t="shared" si="21"/>
        <v>0</v>
      </c>
      <c r="J180" s="586" t="e">
        <f t="shared" si="22"/>
        <v>#DIV/0!</v>
      </c>
      <c r="K180" s="587" t="e">
        <f t="shared" si="23"/>
        <v>#N/A</v>
      </c>
      <c r="L180" s="587">
        <f t="shared" si="24"/>
        <v>0</v>
      </c>
      <c r="M180" s="588" t="e">
        <f t="shared" si="19"/>
        <v>#N/A</v>
      </c>
      <c r="N180" s="589" t="e">
        <f t="shared" si="20"/>
        <v>#N/A</v>
      </c>
      <c r="O180" s="589">
        <f t="shared" si="25"/>
        <v>0</v>
      </c>
      <c r="P180" s="66">
        <f t="shared" si="26"/>
      </c>
    </row>
    <row r="181" spans="1:16" ht="12.75">
      <c r="A181" s="590"/>
      <c r="B181" s="592"/>
      <c r="C181" s="593"/>
      <c r="D181" s="593"/>
      <c r="E181" s="596"/>
      <c r="F181" s="596"/>
      <c r="G181" s="584" t="e">
        <f t="shared" si="18"/>
        <v>#N/A</v>
      </c>
      <c r="H181" s="600"/>
      <c r="I181" s="585">
        <f t="shared" si="21"/>
        <v>0</v>
      </c>
      <c r="J181" s="586" t="e">
        <f t="shared" si="22"/>
        <v>#DIV/0!</v>
      </c>
      <c r="K181" s="587" t="e">
        <f t="shared" si="23"/>
        <v>#N/A</v>
      </c>
      <c r="L181" s="587">
        <f t="shared" si="24"/>
        <v>0</v>
      </c>
      <c r="M181" s="588" t="e">
        <f t="shared" si="19"/>
        <v>#N/A</v>
      </c>
      <c r="N181" s="589" t="e">
        <f t="shared" si="20"/>
        <v>#N/A</v>
      </c>
      <c r="O181" s="589">
        <f t="shared" si="25"/>
        <v>0</v>
      </c>
      <c r="P181" s="66">
        <f t="shared" si="26"/>
      </c>
    </row>
    <row r="182" spans="1:16" ht="12.75">
      <c r="A182" s="590"/>
      <c r="B182" s="592"/>
      <c r="C182" s="593"/>
      <c r="D182" s="593"/>
      <c r="E182" s="596"/>
      <c r="F182" s="596"/>
      <c r="G182" s="584" t="e">
        <f t="shared" si="18"/>
        <v>#N/A</v>
      </c>
      <c r="H182" s="600"/>
      <c r="I182" s="585">
        <f t="shared" si="21"/>
        <v>0</v>
      </c>
      <c r="J182" s="586" t="e">
        <f t="shared" si="22"/>
        <v>#DIV/0!</v>
      </c>
      <c r="K182" s="587" t="e">
        <f t="shared" si="23"/>
        <v>#N/A</v>
      </c>
      <c r="L182" s="587">
        <f t="shared" si="24"/>
        <v>0</v>
      </c>
      <c r="M182" s="588" t="e">
        <f t="shared" si="19"/>
        <v>#N/A</v>
      </c>
      <c r="N182" s="589" t="e">
        <f t="shared" si="20"/>
        <v>#N/A</v>
      </c>
      <c r="O182" s="589">
        <f t="shared" si="25"/>
        <v>0</v>
      </c>
      <c r="P182" s="66">
        <f t="shared" si="26"/>
      </c>
    </row>
    <row r="183" spans="1:16" ht="12.75">
      <c r="A183" s="590"/>
      <c r="B183" s="592"/>
      <c r="C183" s="599"/>
      <c r="D183" s="593"/>
      <c r="E183" s="596"/>
      <c r="F183" s="596"/>
      <c r="G183" s="584" t="e">
        <f t="shared" si="18"/>
        <v>#N/A</v>
      </c>
      <c r="H183" s="600"/>
      <c r="I183" s="585">
        <f t="shared" si="21"/>
        <v>0</v>
      </c>
      <c r="J183" s="586" t="e">
        <f t="shared" si="22"/>
        <v>#DIV/0!</v>
      </c>
      <c r="K183" s="587" t="e">
        <f t="shared" si="23"/>
        <v>#N/A</v>
      </c>
      <c r="L183" s="587">
        <f t="shared" si="24"/>
        <v>0</v>
      </c>
      <c r="M183" s="588" t="e">
        <f t="shared" si="19"/>
        <v>#N/A</v>
      </c>
      <c r="N183" s="589" t="e">
        <f t="shared" si="20"/>
        <v>#N/A</v>
      </c>
      <c r="O183" s="589">
        <f t="shared" si="25"/>
        <v>0</v>
      </c>
      <c r="P183" s="66">
        <f t="shared" si="26"/>
      </c>
    </row>
    <row r="184" spans="1:16" ht="12.75">
      <c r="A184" s="590"/>
      <c r="B184" s="592"/>
      <c r="C184" s="593"/>
      <c r="D184" s="593"/>
      <c r="E184" s="596"/>
      <c r="F184" s="596"/>
      <c r="G184" s="584" t="e">
        <f t="shared" si="18"/>
        <v>#N/A</v>
      </c>
      <c r="H184" s="600"/>
      <c r="I184" s="585">
        <f t="shared" si="21"/>
        <v>0</v>
      </c>
      <c r="J184" s="586" t="e">
        <f t="shared" si="22"/>
        <v>#DIV/0!</v>
      </c>
      <c r="K184" s="587" t="e">
        <f t="shared" si="23"/>
        <v>#N/A</v>
      </c>
      <c r="L184" s="587">
        <f t="shared" si="24"/>
        <v>0</v>
      </c>
      <c r="M184" s="588" t="e">
        <f t="shared" si="19"/>
        <v>#N/A</v>
      </c>
      <c r="N184" s="589" t="e">
        <f t="shared" si="20"/>
        <v>#N/A</v>
      </c>
      <c r="O184" s="589">
        <f t="shared" si="25"/>
        <v>0</v>
      </c>
      <c r="P184" s="66">
        <f t="shared" si="26"/>
      </c>
    </row>
    <row r="185" spans="1:16" ht="12.75">
      <c r="A185" s="590"/>
      <c r="B185" s="592"/>
      <c r="C185" s="593"/>
      <c r="D185" s="593"/>
      <c r="E185" s="596"/>
      <c r="F185" s="596"/>
      <c r="G185" s="584" t="e">
        <f t="shared" si="18"/>
        <v>#N/A</v>
      </c>
      <c r="H185" s="600"/>
      <c r="I185" s="585">
        <f t="shared" si="21"/>
        <v>0</v>
      </c>
      <c r="J185" s="586" t="e">
        <f t="shared" si="22"/>
        <v>#DIV/0!</v>
      </c>
      <c r="K185" s="587" t="e">
        <f t="shared" si="23"/>
        <v>#N/A</v>
      </c>
      <c r="L185" s="587">
        <f t="shared" si="24"/>
        <v>0</v>
      </c>
      <c r="M185" s="588" t="e">
        <f t="shared" si="19"/>
        <v>#N/A</v>
      </c>
      <c r="N185" s="589" t="e">
        <f t="shared" si="20"/>
        <v>#N/A</v>
      </c>
      <c r="O185" s="589">
        <f t="shared" si="25"/>
        <v>0</v>
      </c>
      <c r="P185" s="66">
        <f t="shared" si="26"/>
      </c>
    </row>
    <row r="186" spans="1:16" ht="12.75">
      <c r="A186" s="590"/>
      <c r="B186" s="592"/>
      <c r="C186" s="593"/>
      <c r="D186" s="593"/>
      <c r="E186" s="596"/>
      <c r="F186" s="596"/>
      <c r="G186" s="584" t="e">
        <f t="shared" si="18"/>
        <v>#N/A</v>
      </c>
      <c r="H186" s="600"/>
      <c r="I186" s="585">
        <f t="shared" si="21"/>
        <v>0</v>
      </c>
      <c r="J186" s="586" t="e">
        <f t="shared" si="22"/>
        <v>#DIV/0!</v>
      </c>
      <c r="K186" s="587" t="e">
        <f t="shared" si="23"/>
        <v>#N/A</v>
      </c>
      <c r="L186" s="587">
        <f t="shared" si="24"/>
        <v>0</v>
      </c>
      <c r="M186" s="588" t="e">
        <f t="shared" si="19"/>
        <v>#N/A</v>
      </c>
      <c r="N186" s="589" t="e">
        <f t="shared" si="20"/>
        <v>#N/A</v>
      </c>
      <c r="O186" s="589">
        <f t="shared" si="25"/>
        <v>0</v>
      </c>
      <c r="P186" s="66">
        <f t="shared" si="26"/>
      </c>
    </row>
    <row r="187" spans="1:16" ht="12.75">
      <c r="A187" s="590"/>
      <c r="B187" s="592"/>
      <c r="C187" s="593"/>
      <c r="D187" s="593"/>
      <c r="E187" s="596"/>
      <c r="F187" s="596"/>
      <c r="G187" s="584" t="e">
        <f t="shared" si="18"/>
        <v>#N/A</v>
      </c>
      <c r="H187" s="600"/>
      <c r="I187" s="585">
        <f t="shared" si="21"/>
        <v>0</v>
      </c>
      <c r="J187" s="586" t="e">
        <f t="shared" si="22"/>
        <v>#DIV/0!</v>
      </c>
      <c r="K187" s="587" t="e">
        <f t="shared" si="23"/>
        <v>#N/A</v>
      </c>
      <c r="L187" s="587">
        <f t="shared" si="24"/>
        <v>0</v>
      </c>
      <c r="M187" s="588" t="e">
        <f t="shared" si="19"/>
        <v>#N/A</v>
      </c>
      <c r="N187" s="589" t="e">
        <f t="shared" si="20"/>
        <v>#N/A</v>
      </c>
      <c r="O187" s="589">
        <f t="shared" si="25"/>
        <v>0</v>
      </c>
      <c r="P187" s="66">
        <f t="shared" si="26"/>
      </c>
    </row>
    <row r="188" spans="1:16" ht="12.75">
      <c r="A188" s="590"/>
      <c r="B188" s="592"/>
      <c r="C188" s="593"/>
      <c r="D188" s="593"/>
      <c r="E188" s="596"/>
      <c r="F188" s="596"/>
      <c r="G188" s="584" t="e">
        <f t="shared" si="18"/>
        <v>#N/A</v>
      </c>
      <c r="H188" s="600"/>
      <c r="I188" s="585">
        <f t="shared" si="21"/>
        <v>0</v>
      </c>
      <c r="J188" s="586" t="e">
        <f t="shared" si="22"/>
        <v>#DIV/0!</v>
      </c>
      <c r="K188" s="587" t="e">
        <f t="shared" si="23"/>
        <v>#N/A</v>
      </c>
      <c r="L188" s="587">
        <f t="shared" si="24"/>
        <v>0</v>
      </c>
      <c r="M188" s="588" t="e">
        <f t="shared" si="19"/>
        <v>#N/A</v>
      </c>
      <c r="N188" s="589" t="e">
        <f t="shared" si="20"/>
        <v>#N/A</v>
      </c>
      <c r="O188" s="589">
        <f t="shared" si="25"/>
        <v>0</v>
      </c>
      <c r="P188" s="66">
        <f t="shared" si="26"/>
      </c>
    </row>
    <row r="189" spans="1:16" ht="12.75">
      <c r="A189" s="590"/>
      <c r="B189" s="592"/>
      <c r="C189" s="599"/>
      <c r="D189" s="593"/>
      <c r="E189" s="596"/>
      <c r="F189" s="596"/>
      <c r="G189" s="584" t="e">
        <f t="shared" si="18"/>
        <v>#N/A</v>
      </c>
      <c r="H189" s="600"/>
      <c r="I189" s="585">
        <f t="shared" si="21"/>
        <v>0</v>
      </c>
      <c r="J189" s="586" t="e">
        <f t="shared" si="22"/>
        <v>#DIV/0!</v>
      </c>
      <c r="K189" s="587" t="e">
        <f t="shared" si="23"/>
        <v>#N/A</v>
      </c>
      <c r="L189" s="587">
        <f t="shared" si="24"/>
        <v>0</v>
      </c>
      <c r="M189" s="588" t="e">
        <f t="shared" si="19"/>
        <v>#N/A</v>
      </c>
      <c r="N189" s="589" t="e">
        <f t="shared" si="20"/>
        <v>#N/A</v>
      </c>
      <c r="O189" s="589">
        <f t="shared" si="25"/>
        <v>0</v>
      </c>
      <c r="P189" s="66">
        <f t="shared" si="26"/>
      </c>
    </row>
    <row r="190" spans="1:16" ht="12.75">
      <c r="A190" s="590"/>
      <c r="B190" s="592"/>
      <c r="C190" s="593"/>
      <c r="D190" s="593"/>
      <c r="E190" s="596"/>
      <c r="F190" s="596"/>
      <c r="G190" s="584" t="e">
        <f t="shared" si="18"/>
        <v>#N/A</v>
      </c>
      <c r="H190" s="600"/>
      <c r="I190" s="585">
        <f t="shared" si="21"/>
        <v>0</v>
      </c>
      <c r="J190" s="586" t="e">
        <f t="shared" si="22"/>
        <v>#DIV/0!</v>
      </c>
      <c r="K190" s="587" t="e">
        <f t="shared" si="23"/>
        <v>#N/A</v>
      </c>
      <c r="L190" s="587">
        <f t="shared" si="24"/>
        <v>0</v>
      </c>
      <c r="M190" s="588" t="e">
        <f t="shared" si="19"/>
        <v>#N/A</v>
      </c>
      <c r="N190" s="589" t="e">
        <f t="shared" si="20"/>
        <v>#N/A</v>
      </c>
      <c r="O190" s="589">
        <f t="shared" si="25"/>
        <v>0</v>
      </c>
      <c r="P190" s="66">
        <f t="shared" si="26"/>
      </c>
    </row>
    <row r="191" spans="1:16" ht="12.75">
      <c r="A191" s="590"/>
      <c r="B191" s="592"/>
      <c r="C191" s="593"/>
      <c r="D191" s="593"/>
      <c r="E191" s="596"/>
      <c r="F191" s="596"/>
      <c r="G191" s="584" t="e">
        <f t="shared" si="18"/>
        <v>#N/A</v>
      </c>
      <c r="H191" s="600"/>
      <c r="I191" s="585">
        <f t="shared" si="21"/>
        <v>0</v>
      </c>
      <c r="J191" s="586" t="e">
        <f t="shared" si="22"/>
        <v>#DIV/0!</v>
      </c>
      <c r="K191" s="587" t="e">
        <f t="shared" si="23"/>
        <v>#N/A</v>
      </c>
      <c r="L191" s="587">
        <f t="shared" si="24"/>
        <v>0</v>
      </c>
      <c r="M191" s="588" t="e">
        <f t="shared" si="19"/>
        <v>#N/A</v>
      </c>
      <c r="N191" s="589" t="e">
        <f t="shared" si="20"/>
        <v>#N/A</v>
      </c>
      <c r="O191" s="589">
        <f t="shared" si="25"/>
        <v>0</v>
      </c>
      <c r="P191" s="66">
        <f t="shared" si="26"/>
      </c>
    </row>
    <row r="192" spans="1:16" ht="12.75">
      <c r="A192" s="590"/>
      <c r="B192" s="592"/>
      <c r="C192" s="593"/>
      <c r="D192" s="593"/>
      <c r="E192" s="596"/>
      <c r="F192" s="596"/>
      <c r="G192" s="584" t="e">
        <f t="shared" si="18"/>
        <v>#N/A</v>
      </c>
      <c r="H192" s="600"/>
      <c r="I192" s="585">
        <f t="shared" si="21"/>
        <v>0</v>
      </c>
      <c r="J192" s="586" t="e">
        <f t="shared" si="22"/>
        <v>#DIV/0!</v>
      </c>
      <c r="K192" s="587" t="e">
        <f t="shared" si="23"/>
        <v>#N/A</v>
      </c>
      <c r="L192" s="587">
        <f t="shared" si="24"/>
        <v>0</v>
      </c>
      <c r="M192" s="588" t="e">
        <f t="shared" si="19"/>
        <v>#N/A</v>
      </c>
      <c r="N192" s="589" t="e">
        <f t="shared" si="20"/>
        <v>#N/A</v>
      </c>
      <c r="O192" s="589">
        <f t="shared" si="25"/>
        <v>0</v>
      </c>
      <c r="P192" s="66">
        <f t="shared" si="26"/>
      </c>
    </row>
    <row r="193" spans="1:16" ht="12.75">
      <c r="A193" s="590"/>
      <c r="B193" s="592"/>
      <c r="C193" s="593"/>
      <c r="D193" s="593"/>
      <c r="E193" s="596"/>
      <c r="F193" s="596"/>
      <c r="G193" s="584" t="e">
        <f t="shared" si="18"/>
        <v>#N/A</v>
      </c>
      <c r="H193" s="600"/>
      <c r="I193" s="585">
        <f t="shared" si="21"/>
        <v>0</v>
      </c>
      <c r="J193" s="586" t="e">
        <f t="shared" si="22"/>
        <v>#DIV/0!</v>
      </c>
      <c r="K193" s="587" t="e">
        <f t="shared" si="23"/>
        <v>#N/A</v>
      </c>
      <c r="L193" s="587">
        <f t="shared" si="24"/>
        <v>0</v>
      </c>
      <c r="M193" s="588" t="e">
        <f t="shared" si="19"/>
        <v>#N/A</v>
      </c>
      <c r="N193" s="589" t="e">
        <f t="shared" si="20"/>
        <v>#N/A</v>
      </c>
      <c r="O193" s="589">
        <f t="shared" si="25"/>
        <v>0</v>
      </c>
      <c r="P193" s="66">
        <f t="shared" si="26"/>
      </c>
    </row>
    <row r="194" spans="1:16" ht="12.75">
      <c r="A194" s="590"/>
      <c r="B194" s="592"/>
      <c r="C194" s="593"/>
      <c r="D194" s="593"/>
      <c r="E194" s="596"/>
      <c r="F194" s="596"/>
      <c r="G194" s="584" t="e">
        <f t="shared" si="18"/>
        <v>#N/A</v>
      </c>
      <c r="H194" s="600"/>
      <c r="I194" s="585">
        <f t="shared" si="21"/>
        <v>0</v>
      </c>
      <c r="J194" s="586" t="e">
        <f t="shared" si="22"/>
        <v>#DIV/0!</v>
      </c>
      <c r="K194" s="587" t="e">
        <f t="shared" si="23"/>
        <v>#N/A</v>
      </c>
      <c r="L194" s="587">
        <f t="shared" si="24"/>
        <v>0</v>
      </c>
      <c r="M194" s="588" t="e">
        <f t="shared" si="19"/>
        <v>#N/A</v>
      </c>
      <c r="N194" s="589" t="e">
        <f t="shared" si="20"/>
        <v>#N/A</v>
      </c>
      <c r="O194" s="589">
        <f t="shared" si="25"/>
        <v>0</v>
      </c>
      <c r="P194" s="66">
        <f t="shared" si="26"/>
      </c>
    </row>
    <row r="195" spans="1:16" ht="12.75">
      <c r="A195" s="590"/>
      <c r="B195" s="592"/>
      <c r="C195" s="599"/>
      <c r="D195" s="593"/>
      <c r="E195" s="596"/>
      <c r="F195" s="596"/>
      <c r="G195" s="584" t="e">
        <f t="shared" si="18"/>
        <v>#N/A</v>
      </c>
      <c r="H195" s="600"/>
      <c r="I195" s="585">
        <f t="shared" si="21"/>
        <v>0</v>
      </c>
      <c r="J195" s="586" t="e">
        <f t="shared" si="22"/>
        <v>#DIV/0!</v>
      </c>
      <c r="K195" s="587" t="e">
        <f t="shared" si="23"/>
        <v>#N/A</v>
      </c>
      <c r="L195" s="587">
        <f t="shared" si="24"/>
        <v>0</v>
      </c>
      <c r="M195" s="588" t="e">
        <f t="shared" si="19"/>
        <v>#N/A</v>
      </c>
      <c r="N195" s="589" t="e">
        <f t="shared" si="20"/>
        <v>#N/A</v>
      </c>
      <c r="O195" s="589">
        <f t="shared" si="25"/>
        <v>0</v>
      </c>
      <c r="P195" s="66">
        <f t="shared" si="26"/>
      </c>
    </row>
    <row r="196" spans="1:16" ht="12.75">
      <c r="A196" s="590"/>
      <c r="B196" s="592"/>
      <c r="C196" s="593"/>
      <c r="D196" s="593"/>
      <c r="E196" s="596"/>
      <c r="F196" s="596"/>
      <c r="G196" s="584" t="e">
        <f t="shared" si="18"/>
        <v>#N/A</v>
      </c>
      <c r="H196" s="600"/>
      <c r="I196" s="585">
        <f t="shared" si="21"/>
        <v>0</v>
      </c>
      <c r="J196" s="586" t="e">
        <f t="shared" si="22"/>
        <v>#DIV/0!</v>
      </c>
      <c r="K196" s="587" t="e">
        <f t="shared" si="23"/>
        <v>#N/A</v>
      </c>
      <c r="L196" s="587">
        <f t="shared" si="24"/>
        <v>0</v>
      </c>
      <c r="M196" s="588" t="e">
        <f t="shared" si="19"/>
        <v>#N/A</v>
      </c>
      <c r="N196" s="589" t="e">
        <f t="shared" si="20"/>
        <v>#N/A</v>
      </c>
      <c r="O196" s="589">
        <f t="shared" si="25"/>
        <v>0</v>
      </c>
      <c r="P196" s="66">
        <f t="shared" si="26"/>
      </c>
    </row>
    <row r="197" spans="1:16" ht="12.75">
      <c r="A197" s="590"/>
      <c r="B197" s="592"/>
      <c r="C197" s="593"/>
      <c r="D197" s="593"/>
      <c r="E197" s="596"/>
      <c r="F197" s="596"/>
      <c r="G197" s="584" t="e">
        <f t="shared" si="18"/>
        <v>#N/A</v>
      </c>
      <c r="H197" s="600"/>
      <c r="I197" s="585">
        <f t="shared" si="21"/>
        <v>0</v>
      </c>
      <c r="J197" s="586" t="e">
        <f t="shared" si="22"/>
        <v>#DIV/0!</v>
      </c>
      <c r="K197" s="587" t="e">
        <f t="shared" si="23"/>
        <v>#N/A</v>
      </c>
      <c r="L197" s="587">
        <f t="shared" si="24"/>
        <v>0</v>
      </c>
      <c r="M197" s="588" t="e">
        <f t="shared" si="19"/>
        <v>#N/A</v>
      </c>
      <c r="N197" s="589" t="e">
        <f t="shared" si="20"/>
        <v>#N/A</v>
      </c>
      <c r="O197" s="589">
        <f t="shared" si="25"/>
        <v>0</v>
      </c>
      <c r="P197" s="66">
        <f t="shared" si="26"/>
      </c>
    </row>
    <row r="198" spans="1:16" ht="12.75">
      <c r="A198" s="590"/>
      <c r="B198" s="592"/>
      <c r="C198" s="593"/>
      <c r="D198" s="593"/>
      <c r="E198" s="596"/>
      <c r="F198" s="596"/>
      <c r="G198" s="584" t="e">
        <f t="shared" si="18"/>
        <v>#N/A</v>
      </c>
      <c r="H198" s="600"/>
      <c r="I198" s="585">
        <f t="shared" si="21"/>
        <v>0</v>
      </c>
      <c r="J198" s="586" t="e">
        <f t="shared" si="22"/>
        <v>#DIV/0!</v>
      </c>
      <c r="K198" s="587" t="e">
        <f t="shared" si="23"/>
        <v>#N/A</v>
      </c>
      <c r="L198" s="587">
        <f t="shared" si="24"/>
        <v>0</v>
      </c>
      <c r="M198" s="588" t="e">
        <f t="shared" si="19"/>
        <v>#N/A</v>
      </c>
      <c r="N198" s="589" t="e">
        <f t="shared" si="20"/>
        <v>#N/A</v>
      </c>
      <c r="O198" s="589">
        <f t="shared" si="25"/>
        <v>0</v>
      </c>
      <c r="P198" s="66">
        <f t="shared" si="26"/>
      </c>
    </row>
    <row r="199" spans="1:16" ht="12.75">
      <c r="A199" s="590"/>
      <c r="B199" s="592"/>
      <c r="C199" s="593"/>
      <c r="D199" s="593"/>
      <c r="E199" s="596"/>
      <c r="F199" s="596"/>
      <c r="G199" s="584" t="e">
        <f t="shared" si="18"/>
        <v>#N/A</v>
      </c>
      <c r="H199" s="600"/>
      <c r="I199" s="585">
        <f t="shared" si="21"/>
        <v>0</v>
      </c>
      <c r="J199" s="586" t="e">
        <f t="shared" si="22"/>
        <v>#DIV/0!</v>
      </c>
      <c r="K199" s="587" t="e">
        <f t="shared" si="23"/>
        <v>#N/A</v>
      </c>
      <c r="L199" s="587">
        <f t="shared" si="24"/>
        <v>0</v>
      </c>
      <c r="M199" s="588" t="e">
        <f t="shared" si="19"/>
        <v>#N/A</v>
      </c>
      <c r="N199" s="589" t="e">
        <f t="shared" si="20"/>
        <v>#N/A</v>
      </c>
      <c r="O199" s="589">
        <f t="shared" si="25"/>
        <v>0</v>
      </c>
      <c r="P199" s="66">
        <f t="shared" si="26"/>
      </c>
    </row>
    <row r="200" spans="1:16" ht="12.75">
      <c r="A200" s="590"/>
      <c r="B200" s="592"/>
      <c r="C200" s="593"/>
      <c r="D200" s="593"/>
      <c r="E200" s="596"/>
      <c r="F200" s="596"/>
      <c r="G200" s="584" t="e">
        <f t="shared" si="18"/>
        <v>#N/A</v>
      </c>
      <c r="H200" s="600"/>
      <c r="I200" s="585">
        <f t="shared" si="21"/>
        <v>0</v>
      </c>
      <c r="J200" s="586" t="e">
        <f t="shared" si="22"/>
        <v>#DIV/0!</v>
      </c>
      <c r="K200" s="587" t="e">
        <f t="shared" si="23"/>
        <v>#N/A</v>
      </c>
      <c r="L200" s="587">
        <f t="shared" si="24"/>
        <v>0</v>
      </c>
      <c r="M200" s="588" t="e">
        <f t="shared" si="19"/>
        <v>#N/A</v>
      </c>
      <c r="N200" s="589" t="e">
        <f t="shared" si="20"/>
        <v>#N/A</v>
      </c>
      <c r="O200" s="589">
        <f t="shared" si="25"/>
        <v>0</v>
      </c>
      <c r="P200" s="66">
        <f t="shared" si="26"/>
      </c>
    </row>
    <row r="201" spans="1:16" ht="12.75">
      <c r="A201" s="590"/>
      <c r="B201" s="592"/>
      <c r="C201" s="599"/>
      <c r="D201" s="593"/>
      <c r="E201" s="596"/>
      <c r="F201" s="596"/>
      <c r="G201" s="584" t="e">
        <f t="shared" si="18"/>
        <v>#N/A</v>
      </c>
      <c r="H201" s="600"/>
      <c r="I201" s="585">
        <f t="shared" si="21"/>
        <v>0</v>
      </c>
      <c r="J201" s="586" t="e">
        <f t="shared" si="22"/>
        <v>#DIV/0!</v>
      </c>
      <c r="K201" s="587" t="e">
        <f t="shared" si="23"/>
        <v>#N/A</v>
      </c>
      <c r="L201" s="587">
        <f t="shared" si="24"/>
        <v>0</v>
      </c>
      <c r="M201" s="588" t="e">
        <f t="shared" si="19"/>
        <v>#N/A</v>
      </c>
      <c r="N201" s="589" t="e">
        <f t="shared" si="20"/>
        <v>#N/A</v>
      </c>
      <c r="O201" s="589">
        <f t="shared" si="25"/>
        <v>0</v>
      </c>
      <c r="P201" s="66">
        <f t="shared" si="26"/>
      </c>
    </row>
    <row r="202" spans="1:16" ht="12.75">
      <c r="A202" s="590"/>
      <c r="B202" s="592"/>
      <c r="C202" s="593"/>
      <c r="D202" s="593"/>
      <c r="E202" s="596"/>
      <c r="F202" s="596"/>
      <c r="G202" s="584" t="e">
        <f t="shared" si="18"/>
        <v>#N/A</v>
      </c>
      <c r="H202" s="600"/>
      <c r="I202" s="585">
        <f t="shared" si="21"/>
        <v>0</v>
      </c>
      <c r="J202" s="586" t="e">
        <f t="shared" si="22"/>
        <v>#DIV/0!</v>
      </c>
      <c r="K202" s="587" t="e">
        <f t="shared" si="23"/>
        <v>#N/A</v>
      </c>
      <c r="L202" s="587">
        <f t="shared" si="24"/>
        <v>0</v>
      </c>
      <c r="M202" s="588" t="e">
        <f t="shared" si="19"/>
        <v>#N/A</v>
      </c>
      <c r="N202" s="589" t="e">
        <f t="shared" si="20"/>
        <v>#N/A</v>
      </c>
      <c r="O202" s="589">
        <f t="shared" si="25"/>
        <v>0</v>
      </c>
      <c r="P202" s="66">
        <f t="shared" si="26"/>
      </c>
    </row>
    <row r="203" spans="1:16" ht="12.75">
      <c r="A203" s="590"/>
      <c r="B203" s="592"/>
      <c r="C203" s="593"/>
      <c r="D203" s="593"/>
      <c r="E203" s="596"/>
      <c r="F203" s="596"/>
      <c r="G203" s="584" t="e">
        <f t="shared" si="18"/>
        <v>#N/A</v>
      </c>
      <c r="H203" s="600"/>
      <c r="I203" s="585">
        <f t="shared" si="21"/>
        <v>0</v>
      </c>
      <c r="J203" s="586" t="e">
        <f t="shared" si="22"/>
        <v>#DIV/0!</v>
      </c>
      <c r="K203" s="587" t="e">
        <f t="shared" si="23"/>
        <v>#N/A</v>
      </c>
      <c r="L203" s="587">
        <f t="shared" si="24"/>
        <v>0</v>
      </c>
      <c r="M203" s="588" t="e">
        <f t="shared" si="19"/>
        <v>#N/A</v>
      </c>
      <c r="N203" s="589" t="e">
        <f t="shared" si="20"/>
        <v>#N/A</v>
      </c>
      <c r="O203" s="589">
        <f t="shared" si="25"/>
        <v>0</v>
      </c>
      <c r="P203" s="66">
        <f t="shared" si="26"/>
      </c>
    </row>
    <row r="204" spans="1:16" ht="12.75">
      <c r="A204" s="590"/>
      <c r="B204" s="592"/>
      <c r="C204" s="593"/>
      <c r="D204" s="593"/>
      <c r="E204" s="596"/>
      <c r="F204" s="596"/>
      <c r="G204" s="584" t="e">
        <f t="shared" si="18"/>
        <v>#N/A</v>
      </c>
      <c r="H204" s="600"/>
      <c r="I204" s="585">
        <f t="shared" si="21"/>
        <v>0</v>
      </c>
      <c r="J204" s="586" t="e">
        <f t="shared" si="22"/>
        <v>#DIV/0!</v>
      </c>
      <c r="K204" s="587" t="e">
        <f t="shared" si="23"/>
        <v>#N/A</v>
      </c>
      <c r="L204" s="587">
        <f t="shared" si="24"/>
        <v>0</v>
      </c>
      <c r="M204" s="588" t="e">
        <f t="shared" si="19"/>
        <v>#N/A</v>
      </c>
      <c r="N204" s="589" t="e">
        <f t="shared" si="20"/>
        <v>#N/A</v>
      </c>
      <c r="O204" s="589">
        <f t="shared" si="25"/>
        <v>0</v>
      </c>
      <c r="P204" s="66">
        <f t="shared" si="26"/>
      </c>
    </row>
    <row r="205" spans="1:16" ht="12.75">
      <c r="A205" s="590"/>
      <c r="B205" s="592"/>
      <c r="C205" s="593"/>
      <c r="D205" s="593"/>
      <c r="E205" s="596"/>
      <c r="F205" s="596"/>
      <c r="G205" s="584" t="e">
        <f t="shared" si="18"/>
        <v>#N/A</v>
      </c>
      <c r="H205" s="600"/>
      <c r="I205" s="585">
        <f t="shared" si="21"/>
        <v>0</v>
      </c>
      <c r="J205" s="586" t="e">
        <f t="shared" si="22"/>
        <v>#DIV/0!</v>
      </c>
      <c r="K205" s="587" t="e">
        <f t="shared" si="23"/>
        <v>#N/A</v>
      </c>
      <c r="L205" s="587">
        <f t="shared" si="24"/>
        <v>0</v>
      </c>
      <c r="M205" s="588" t="e">
        <f t="shared" si="19"/>
        <v>#N/A</v>
      </c>
      <c r="N205" s="589" t="e">
        <f t="shared" si="20"/>
        <v>#N/A</v>
      </c>
      <c r="O205" s="589">
        <f t="shared" si="25"/>
        <v>0</v>
      </c>
      <c r="P205" s="66">
        <f t="shared" si="26"/>
      </c>
    </row>
    <row r="206" spans="1:16" ht="12.75">
      <c r="A206" s="590"/>
      <c r="B206" s="592"/>
      <c r="C206" s="593"/>
      <c r="D206" s="593"/>
      <c r="E206" s="596"/>
      <c r="F206" s="596"/>
      <c r="G206" s="584" t="e">
        <f t="shared" si="18"/>
        <v>#N/A</v>
      </c>
      <c r="H206" s="600"/>
      <c r="I206" s="585">
        <f t="shared" si="21"/>
        <v>0</v>
      </c>
      <c r="J206" s="586" t="e">
        <f t="shared" si="22"/>
        <v>#DIV/0!</v>
      </c>
      <c r="K206" s="587" t="e">
        <f t="shared" si="23"/>
        <v>#N/A</v>
      </c>
      <c r="L206" s="587">
        <f t="shared" si="24"/>
        <v>0</v>
      </c>
      <c r="M206" s="588" t="e">
        <f t="shared" si="19"/>
        <v>#N/A</v>
      </c>
      <c r="N206" s="589" t="e">
        <f t="shared" si="20"/>
        <v>#N/A</v>
      </c>
      <c r="O206" s="589">
        <f t="shared" si="25"/>
        <v>0</v>
      </c>
      <c r="P206" s="66">
        <f t="shared" si="26"/>
      </c>
    </row>
    <row r="207" spans="1:16" ht="12.75">
      <c r="A207" s="590"/>
      <c r="B207" s="592"/>
      <c r="C207" s="599"/>
      <c r="D207" s="593"/>
      <c r="E207" s="596"/>
      <c r="F207" s="596"/>
      <c r="G207" s="584" t="e">
        <f t="shared" si="18"/>
        <v>#N/A</v>
      </c>
      <c r="H207" s="600"/>
      <c r="I207" s="585">
        <f t="shared" si="21"/>
        <v>0</v>
      </c>
      <c r="J207" s="586" t="e">
        <f t="shared" si="22"/>
        <v>#DIV/0!</v>
      </c>
      <c r="K207" s="587" t="e">
        <f t="shared" si="23"/>
        <v>#N/A</v>
      </c>
      <c r="L207" s="587">
        <f t="shared" si="24"/>
        <v>0</v>
      </c>
      <c r="M207" s="588" t="e">
        <f t="shared" si="19"/>
        <v>#N/A</v>
      </c>
      <c r="N207" s="589" t="e">
        <f t="shared" si="20"/>
        <v>#N/A</v>
      </c>
      <c r="O207" s="589">
        <f t="shared" si="25"/>
        <v>0</v>
      </c>
      <c r="P207" s="66">
        <f t="shared" si="26"/>
      </c>
    </row>
    <row r="208" spans="1:16" ht="12.75">
      <c r="A208" s="590"/>
      <c r="B208" s="592"/>
      <c r="C208" s="593"/>
      <c r="D208" s="593"/>
      <c r="E208" s="596"/>
      <c r="F208" s="596"/>
      <c r="G208" s="584" t="e">
        <f t="shared" si="18"/>
        <v>#N/A</v>
      </c>
      <c r="H208" s="600"/>
      <c r="I208" s="585">
        <f t="shared" si="21"/>
        <v>0</v>
      </c>
      <c r="J208" s="586" t="e">
        <f t="shared" si="22"/>
        <v>#DIV/0!</v>
      </c>
      <c r="K208" s="587" t="e">
        <f t="shared" si="23"/>
        <v>#N/A</v>
      </c>
      <c r="L208" s="587">
        <f t="shared" si="24"/>
        <v>0</v>
      </c>
      <c r="M208" s="588" t="e">
        <f t="shared" si="19"/>
        <v>#N/A</v>
      </c>
      <c r="N208" s="589" t="e">
        <f t="shared" si="20"/>
        <v>#N/A</v>
      </c>
      <c r="O208" s="589">
        <f t="shared" si="25"/>
        <v>0</v>
      </c>
      <c r="P208" s="66">
        <f t="shared" si="26"/>
      </c>
    </row>
    <row r="209" spans="1:16" ht="12.75">
      <c r="A209" s="590"/>
      <c r="B209" s="592"/>
      <c r="C209" s="593"/>
      <c r="D209" s="593"/>
      <c r="E209" s="596"/>
      <c r="F209" s="596"/>
      <c r="G209" s="584" t="e">
        <f t="shared" si="18"/>
        <v>#N/A</v>
      </c>
      <c r="H209" s="600"/>
      <c r="I209" s="585">
        <f t="shared" si="21"/>
        <v>0</v>
      </c>
      <c r="J209" s="586" t="e">
        <f t="shared" si="22"/>
        <v>#DIV/0!</v>
      </c>
      <c r="K209" s="587" t="e">
        <f t="shared" si="23"/>
        <v>#N/A</v>
      </c>
      <c r="L209" s="587">
        <f t="shared" si="24"/>
        <v>0</v>
      </c>
      <c r="M209" s="588" t="e">
        <f t="shared" si="19"/>
        <v>#N/A</v>
      </c>
      <c r="N209" s="589" t="e">
        <f t="shared" si="20"/>
        <v>#N/A</v>
      </c>
      <c r="O209" s="589">
        <f t="shared" si="25"/>
        <v>0</v>
      </c>
      <c r="P209" s="66">
        <f t="shared" si="26"/>
      </c>
    </row>
    <row r="210" spans="1:16" ht="12.75">
      <c r="A210" s="590"/>
      <c r="B210" s="592"/>
      <c r="C210" s="593"/>
      <c r="D210" s="593"/>
      <c r="E210" s="596"/>
      <c r="F210" s="596"/>
      <c r="G210" s="584" t="e">
        <f t="shared" si="18"/>
        <v>#N/A</v>
      </c>
      <c r="H210" s="600"/>
      <c r="I210" s="585">
        <f t="shared" si="21"/>
        <v>0</v>
      </c>
      <c r="J210" s="586" t="e">
        <f t="shared" si="22"/>
        <v>#DIV/0!</v>
      </c>
      <c r="K210" s="587" t="e">
        <f t="shared" si="23"/>
        <v>#N/A</v>
      </c>
      <c r="L210" s="587">
        <f t="shared" si="24"/>
        <v>0</v>
      </c>
      <c r="M210" s="588" t="e">
        <f t="shared" si="19"/>
        <v>#N/A</v>
      </c>
      <c r="N210" s="589" t="e">
        <f t="shared" si="20"/>
        <v>#N/A</v>
      </c>
      <c r="O210" s="589">
        <f t="shared" si="25"/>
        <v>0</v>
      </c>
      <c r="P210" s="66">
        <f t="shared" si="26"/>
      </c>
    </row>
    <row r="211" spans="1:16" ht="12.75">
      <c r="A211" s="590"/>
      <c r="B211" s="592"/>
      <c r="C211" s="593"/>
      <c r="D211" s="593"/>
      <c r="E211" s="596"/>
      <c r="F211" s="596"/>
      <c r="G211" s="584" t="e">
        <f t="shared" si="18"/>
        <v>#N/A</v>
      </c>
      <c r="H211" s="600"/>
      <c r="I211" s="585">
        <f t="shared" si="21"/>
        <v>0</v>
      </c>
      <c r="J211" s="586" t="e">
        <f t="shared" si="22"/>
        <v>#DIV/0!</v>
      </c>
      <c r="K211" s="587" t="e">
        <f t="shared" si="23"/>
        <v>#N/A</v>
      </c>
      <c r="L211" s="587">
        <f t="shared" si="24"/>
        <v>0</v>
      </c>
      <c r="M211" s="588" t="e">
        <f t="shared" si="19"/>
        <v>#N/A</v>
      </c>
      <c r="N211" s="589" t="e">
        <f t="shared" si="20"/>
        <v>#N/A</v>
      </c>
      <c r="O211" s="589">
        <f t="shared" si="25"/>
        <v>0</v>
      </c>
      <c r="P211" s="66">
        <f t="shared" si="26"/>
      </c>
    </row>
    <row r="212" spans="1:16" ht="12.75">
      <c r="A212" s="590"/>
      <c r="B212" s="592"/>
      <c r="C212" s="593"/>
      <c r="D212" s="593"/>
      <c r="E212" s="596"/>
      <c r="F212" s="596"/>
      <c r="G212" s="584" t="e">
        <f t="shared" si="18"/>
        <v>#N/A</v>
      </c>
      <c r="H212" s="600"/>
      <c r="I212" s="585">
        <f t="shared" si="21"/>
        <v>0</v>
      </c>
      <c r="J212" s="586" t="e">
        <f t="shared" si="22"/>
        <v>#DIV/0!</v>
      </c>
      <c r="K212" s="587" t="e">
        <f t="shared" si="23"/>
        <v>#N/A</v>
      </c>
      <c r="L212" s="587">
        <f t="shared" si="24"/>
        <v>0</v>
      </c>
      <c r="M212" s="588" t="e">
        <f t="shared" si="19"/>
        <v>#N/A</v>
      </c>
      <c r="N212" s="589" t="e">
        <f t="shared" si="20"/>
        <v>#N/A</v>
      </c>
      <c r="O212" s="589">
        <f t="shared" si="25"/>
        <v>0</v>
      </c>
      <c r="P212" s="66">
        <f t="shared" si="26"/>
      </c>
    </row>
    <row r="213" spans="1:16" ht="12.75">
      <c r="A213" s="590"/>
      <c r="B213" s="592"/>
      <c r="C213" s="599"/>
      <c r="D213" s="593"/>
      <c r="E213" s="596"/>
      <c r="F213" s="596"/>
      <c r="G213" s="584" t="e">
        <f t="shared" si="18"/>
        <v>#N/A</v>
      </c>
      <c r="H213" s="600"/>
      <c r="I213" s="585">
        <f t="shared" si="21"/>
        <v>0</v>
      </c>
      <c r="J213" s="586" t="e">
        <f t="shared" si="22"/>
        <v>#DIV/0!</v>
      </c>
      <c r="K213" s="587" t="e">
        <f t="shared" si="23"/>
        <v>#N/A</v>
      </c>
      <c r="L213" s="587">
        <f t="shared" si="24"/>
        <v>0</v>
      </c>
      <c r="M213" s="588" t="e">
        <f t="shared" si="19"/>
        <v>#N/A</v>
      </c>
      <c r="N213" s="589" t="e">
        <f t="shared" si="20"/>
        <v>#N/A</v>
      </c>
      <c r="O213" s="589">
        <f t="shared" si="25"/>
        <v>0</v>
      </c>
      <c r="P213" s="66">
        <f t="shared" si="26"/>
      </c>
    </row>
    <row r="214" spans="1:16" ht="12.75">
      <c r="A214" s="590"/>
      <c r="B214" s="592"/>
      <c r="C214" s="593"/>
      <c r="D214" s="593"/>
      <c r="E214" s="596"/>
      <c r="F214" s="596"/>
      <c r="G214" s="584" t="e">
        <f t="shared" si="18"/>
        <v>#N/A</v>
      </c>
      <c r="H214" s="600"/>
      <c r="I214" s="585">
        <f t="shared" si="21"/>
        <v>0</v>
      </c>
      <c r="J214" s="586" t="e">
        <f t="shared" si="22"/>
        <v>#DIV/0!</v>
      </c>
      <c r="K214" s="587" t="e">
        <f t="shared" si="23"/>
        <v>#N/A</v>
      </c>
      <c r="L214" s="587">
        <f t="shared" si="24"/>
        <v>0</v>
      </c>
      <c r="M214" s="588" t="e">
        <f t="shared" si="19"/>
        <v>#N/A</v>
      </c>
      <c r="N214" s="589" t="e">
        <f t="shared" si="20"/>
        <v>#N/A</v>
      </c>
      <c r="O214" s="589">
        <f t="shared" si="25"/>
        <v>0</v>
      </c>
      <c r="P214" s="66">
        <f t="shared" si="26"/>
      </c>
    </row>
    <row r="215" spans="1:16" ht="12.75">
      <c r="A215" s="590"/>
      <c r="B215" s="592"/>
      <c r="C215" s="593"/>
      <c r="D215" s="593"/>
      <c r="E215" s="596"/>
      <c r="F215" s="596"/>
      <c r="G215" s="584" t="e">
        <f t="shared" si="18"/>
        <v>#N/A</v>
      </c>
      <c r="H215" s="600"/>
      <c r="I215" s="585">
        <f t="shared" si="21"/>
        <v>0</v>
      </c>
      <c r="J215" s="586" t="e">
        <f t="shared" si="22"/>
        <v>#DIV/0!</v>
      </c>
      <c r="K215" s="587" t="e">
        <f t="shared" si="23"/>
        <v>#N/A</v>
      </c>
      <c r="L215" s="587">
        <f t="shared" si="24"/>
        <v>0</v>
      </c>
      <c r="M215" s="588" t="e">
        <f t="shared" si="19"/>
        <v>#N/A</v>
      </c>
      <c r="N215" s="589" t="e">
        <f t="shared" si="20"/>
        <v>#N/A</v>
      </c>
      <c r="O215" s="589">
        <f t="shared" si="25"/>
        <v>0</v>
      </c>
      <c r="P215" s="66">
        <f t="shared" si="26"/>
      </c>
    </row>
    <row r="216" spans="1:16" ht="12.75">
      <c r="A216" s="590"/>
      <c r="B216" s="592"/>
      <c r="C216" s="593"/>
      <c r="D216" s="593"/>
      <c r="E216" s="596"/>
      <c r="F216" s="596"/>
      <c r="G216" s="584" t="e">
        <f t="shared" si="18"/>
        <v>#N/A</v>
      </c>
      <c r="H216" s="600"/>
      <c r="I216" s="585">
        <f t="shared" si="21"/>
        <v>0</v>
      </c>
      <c r="J216" s="586" t="e">
        <f t="shared" si="22"/>
        <v>#DIV/0!</v>
      </c>
      <c r="K216" s="587" t="e">
        <f t="shared" si="23"/>
        <v>#N/A</v>
      </c>
      <c r="L216" s="587">
        <f t="shared" si="24"/>
        <v>0</v>
      </c>
      <c r="M216" s="588" t="e">
        <f t="shared" si="19"/>
        <v>#N/A</v>
      </c>
      <c r="N216" s="589" t="e">
        <f t="shared" si="20"/>
        <v>#N/A</v>
      </c>
      <c r="O216" s="589">
        <f t="shared" si="25"/>
        <v>0</v>
      </c>
      <c r="P216" s="66">
        <f t="shared" si="26"/>
      </c>
    </row>
    <row r="217" spans="1:16" ht="12.75">
      <c r="A217" s="590"/>
      <c r="B217" s="592"/>
      <c r="C217" s="593"/>
      <c r="D217" s="593"/>
      <c r="E217" s="596"/>
      <c r="F217" s="596"/>
      <c r="G217" s="584" t="e">
        <f t="shared" si="18"/>
        <v>#N/A</v>
      </c>
      <c r="H217" s="600"/>
      <c r="I217" s="585">
        <f t="shared" si="21"/>
        <v>0</v>
      </c>
      <c r="J217" s="586" t="e">
        <f t="shared" si="22"/>
        <v>#DIV/0!</v>
      </c>
      <c r="K217" s="587" t="e">
        <f t="shared" si="23"/>
        <v>#N/A</v>
      </c>
      <c r="L217" s="587">
        <f t="shared" si="24"/>
        <v>0</v>
      </c>
      <c r="M217" s="588" t="e">
        <f t="shared" si="19"/>
        <v>#N/A</v>
      </c>
      <c r="N217" s="589" t="e">
        <f t="shared" si="20"/>
        <v>#N/A</v>
      </c>
      <c r="O217" s="589">
        <f t="shared" si="25"/>
        <v>0</v>
      </c>
      <c r="P217" s="66">
        <f t="shared" si="26"/>
      </c>
    </row>
    <row r="218" spans="1:16" ht="12.75">
      <c r="A218" s="590"/>
      <c r="B218" s="592"/>
      <c r="C218" s="593"/>
      <c r="D218" s="593"/>
      <c r="E218" s="596"/>
      <c r="F218" s="596"/>
      <c r="G218" s="584" t="e">
        <f t="shared" si="18"/>
        <v>#N/A</v>
      </c>
      <c r="H218" s="600"/>
      <c r="I218" s="585">
        <f t="shared" si="21"/>
        <v>0</v>
      </c>
      <c r="J218" s="586" t="e">
        <f t="shared" si="22"/>
        <v>#DIV/0!</v>
      </c>
      <c r="K218" s="587" t="e">
        <f t="shared" si="23"/>
        <v>#N/A</v>
      </c>
      <c r="L218" s="587">
        <f t="shared" si="24"/>
        <v>0</v>
      </c>
      <c r="M218" s="588" t="e">
        <f t="shared" si="19"/>
        <v>#N/A</v>
      </c>
      <c r="N218" s="589" t="e">
        <f t="shared" si="20"/>
        <v>#N/A</v>
      </c>
      <c r="O218" s="589">
        <f t="shared" si="25"/>
        <v>0</v>
      </c>
      <c r="P218" s="66">
        <f t="shared" si="26"/>
      </c>
    </row>
    <row r="219" spans="1:16" ht="12.75">
      <c r="A219" s="590"/>
      <c r="B219" s="592"/>
      <c r="C219" s="599"/>
      <c r="D219" s="593"/>
      <c r="E219" s="596"/>
      <c r="F219" s="596"/>
      <c r="G219" s="584" t="e">
        <f t="shared" si="18"/>
        <v>#N/A</v>
      </c>
      <c r="H219" s="600"/>
      <c r="I219" s="585">
        <f t="shared" si="21"/>
        <v>0</v>
      </c>
      <c r="J219" s="586" t="e">
        <f t="shared" si="22"/>
        <v>#DIV/0!</v>
      </c>
      <c r="K219" s="587" t="e">
        <f t="shared" si="23"/>
        <v>#N/A</v>
      </c>
      <c r="L219" s="587">
        <f t="shared" si="24"/>
        <v>0</v>
      </c>
      <c r="M219" s="588" t="e">
        <f t="shared" si="19"/>
        <v>#N/A</v>
      </c>
      <c r="N219" s="589" t="e">
        <f t="shared" si="20"/>
        <v>#N/A</v>
      </c>
      <c r="O219" s="589">
        <f t="shared" si="25"/>
        <v>0</v>
      </c>
      <c r="P219" s="66">
        <f t="shared" si="26"/>
      </c>
    </row>
    <row r="220" spans="1:16" ht="12.75">
      <c r="A220" s="590"/>
      <c r="B220" s="592"/>
      <c r="C220" s="593"/>
      <c r="D220" s="593"/>
      <c r="E220" s="596"/>
      <c r="F220" s="596"/>
      <c r="G220" s="584" t="e">
        <f aca="true" t="shared" si="27" ref="G220:G283">LOOKUP(F220,$I$2:$I$15,$J$2:$J$15)</f>
        <v>#N/A</v>
      </c>
      <c r="H220" s="600"/>
      <c r="I220" s="585">
        <f t="shared" si="21"/>
        <v>0</v>
      </c>
      <c r="J220" s="586" t="e">
        <f t="shared" si="22"/>
        <v>#DIV/0!</v>
      </c>
      <c r="K220" s="587" t="e">
        <f t="shared" si="23"/>
        <v>#N/A</v>
      </c>
      <c r="L220" s="587">
        <f t="shared" si="24"/>
        <v>0</v>
      </c>
      <c r="M220" s="588" t="e">
        <f aca="true" t="shared" si="28" ref="M220:M283">IF(D220="Exit Signs","NA",E220*LOOKUP(F220,$I$2:$I$24,$K$2:$K$24)/B220)</f>
        <v>#N/A</v>
      </c>
      <c r="N220" s="589" t="e">
        <f aca="true" t="shared" si="29" ref="N220:N283">LOOKUP(D220,$T$2:$T$13,$V$2:$V$13)</f>
        <v>#N/A</v>
      </c>
      <c r="O220" s="589">
        <f t="shared" si="25"/>
        <v>0</v>
      </c>
      <c r="P220" s="66">
        <f t="shared" si="26"/>
      </c>
    </row>
    <row r="221" spans="1:16" ht="12.75">
      <c r="A221" s="590"/>
      <c r="B221" s="592"/>
      <c r="C221" s="593"/>
      <c r="D221" s="593"/>
      <c r="E221" s="596"/>
      <c r="F221" s="596"/>
      <c r="G221" s="584" t="e">
        <f t="shared" si="27"/>
        <v>#N/A</v>
      </c>
      <c r="H221" s="600"/>
      <c r="I221" s="585">
        <f aca="true" t="shared" si="30" ref="I221:I284">IF(E221&gt;0,E221*G221*H221,0)</f>
        <v>0</v>
      </c>
      <c r="J221" s="586" t="e">
        <f aca="true" t="shared" si="31" ref="J221:J284">IF(D221="Exit Signs","convert to kW",I221/(B221*H221))</f>
        <v>#DIV/0!</v>
      </c>
      <c r="K221" s="587" t="e">
        <f aca="true" t="shared" si="32" ref="K221:K284">IF($C$15="Space-By-Space (9.6.1)",LOOKUP(D221,$T$2:$T$13,$U$2:$U$13),0.7)</f>
        <v>#N/A</v>
      </c>
      <c r="L221" s="587">
        <f aca="true" t="shared" si="33" ref="L221:L284">IF(D221="Exit Signs",5*E221,IF(B221&gt;0,K221*B221,0))</f>
        <v>0</v>
      </c>
      <c r="M221" s="588" t="e">
        <f t="shared" si="28"/>
        <v>#N/A</v>
      </c>
      <c r="N221" s="589" t="e">
        <f t="shared" si="29"/>
        <v>#N/A</v>
      </c>
      <c r="O221" s="589">
        <f aca="true" t="shared" si="34" ref="O221:O284">B221*H221</f>
        <v>0</v>
      </c>
      <c r="P221" s="66">
        <f aca="true" t="shared" si="35" ref="P221:P284">IF(E221&gt;0,IF(M221&lt;N221,"Insufficient lighting to meet IESNA footcandle recommendations.",""),"")</f>
      </c>
    </row>
    <row r="222" spans="1:16" ht="12.75">
      <c r="A222" s="590"/>
      <c r="B222" s="592"/>
      <c r="C222" s="593"/>
      <c r="D222" s="593"/>
      <c r="E222" s="596"/>
      <c r="F222" s="596"/>
      <c r="G222" s="584" t="e">
        <f t="shared" si="27"/>
        <v>#N/A</v>
      </c>
      <c r="H222" s="600"/>
      <c r="I222" s="585">
        <f t="shared" si="30"/>
        <v>0</v>
      </c>
      <c r="J222" s="586" t="e">
        <f t="shared" si="31"/>
        <v>#DIV/0!</v>
      </c>
      <c r="K222" s="587" t="e">
        <f t="shared" si="32"/>
        <v>#N/A</v>
      </c>
      <c r="L222" s="587">
        <f t="shared" si="33"/>
        <v>0</v>
      </c>
      <c r="M222" s="588" t="e">
        <f t="shared" si="28"/>
        <v>#N/A</v>
      </c>
      <c r="N222" s="589" t="e">
        <f t="shared" si="29"/>
        <v>#N/A</v>
      </c>
      <c r="O222" s="589">
        <f t="shared" si="34"/>
        <v>0</v>
      </c>
      <c r="P222" s="66">
        <f t="shared" si="35"/>
      </c>
    </row>
    <row r="223" spans="1:16" ht="12.75">
      <c r="A223" s="590"/>
      <c r="B223" s="592"/>
      <c r="C223" s="593"/>
      <c r="D223" s="593"/>
      <c r="E223" s="596"/>
      <c r="F223" s="596"/>
      <c r="G223" s="584" t="e">
        <f t="shared" si="27"/>
        <v>#N/A</v>
      </c>
      <c r="H223" s="600"/>
      <c r="I223" s="585">
        <f t="shared" si="30"/>
        <v>0</v>
      </c>
      <c r="J223" s="586" t="e">
        <f t="shared" si="31"/>
        <v>#DIV/0!</v>
      </c>
      <c r="K223" s="587" t="e">
        <f t="shared" si="32"/>
        <v>#N/A</v>
      </c>
      <c r="L223" s="587">
        <f t="shared" si="33"/>
        <v>0</v>
      </c>
      <c r="M223" s="588" t="e">
        <f t="shared" si="28"/>
        <v>#N/A</v>
      </c>
      <c r="N223" s="589" t="e">
        <f t="shared" si="29"/>
        <v>#N/A</v>
      </c>
      <c r="O223" s="589">
        <f t="shared" si="34"/>
        <v>0</v>
      </c>
      <c r="P223" s="66">
        <f t="shared" si="35"/>
      </c>
    </row>
    <row r="224" spans="1:16" ht="12.75">
      <c r="A224" s="591"/>
      <c r="B224" s="592"/>
      <c r="C224" s="593"/>
      <c r="D224" s="593"/>
      <c r="E224" s="596"/>
      <c r="F224" s="596"/>
      <c r="G224" s="584" t="e">
        <f t="shared" si="27"/>
        <v>#N/A</v>
      </c>
      <c r="H224" s="600"/>
      <c r="I224" s="585">
        <f t="shared" si="30"/>
        <v>0</v>
      </c>
      <c r="J224" s="586" t="e">
        <f t="shared" si="31"/>
        <v>#DIV/0!</v>
      </c>
      <c r="K224" s="587" t="e">
        <f t="shared" si="32"/>
        <v>#N/A</v>
      </c>
      <c r="L224" s="587">
        <f t="shared" si="33"/>
        <v>0</v>
      </c>
      <c r="M224" s="588" t="e">
        <f t="shared" si="28"/>
        <v>#N/A</v>
      </c>
      <c r="N224" s="589" t="e">
        <f t="shared" si="29"/>
        <v>#N/A</v>
      </c>
      <c r="O224" s="589">
        <f t="shared" si="34"/>
        <v>0</v>
      </c>
      <c r="P224" s="66">
        <f t="shared" si="35"/>
      </c>
    </row>
    <row r="225" spans="1:16" ht="12.75">
      <c r="A225" s="462"/>
      <c r="B225" s="592"/>
      <c r="C225" s="593"/>
      <c r="D225" s="593"/>
      <c r="E225" s="596"/>
      <c r="F225" s="596"/>
      <c r="G225" s="584" t="e">
        <f t="shared" si="27"/>
        <v>#N/A</v>
      </c>
      <c r="H225" s="600"/>
      <c r="I225" s="585">
        <f t="shared" si="30"/>
        <v>0</v>
      </c>
      <c r="J225" s="586" t="e">
        <f t="shared" si="31"/>
        <v>#DIV/0!</v>
      </c>
      <c r="K225" s="587" t="e">
        <f t="shared" si="32"/>
        <v>#N/A</v>
      </c>
      <c r="L225" s="587">
        <f t="shared" si="33"/>
        <v>0</v>
      </c>
      <c r="M225" s="588" t="e">
        <f t="shared" si="28"/>
        <v>#N/A</v>
      </c>
      <c r="N225" s="589" t="e">
        <f t="shared" si="29"/>
        <v>#N/A</v>
      </c>
      <c r="O225" s="589">
        <f t="shared" si="34"/>
        <v>0</v>
      </c>
      <c r="P225" s="66">
        <f t="shared" si="35"/>
      </c>
    </row>
    <row r="226" spans="1:16" ht="12.75">
      <c r="A226" s="462"/>
      <c r="B226" s="592"/>
      <c r="C226" s="593"/>
      <c r="D226" s="593"/>
      <c r="E226" s="596"/>
      <c r="F226" s="596"/>
      <c r="G226" s="584" t="e">
        <f t="shared" si="27"/>
        <v>#N/A</v>
      </c>
      <c r="H226" s="600"/>
      <c r="I226" s="585">
        <f t="shared" si="30"/>
        <v>0</v>
      </c>
      <c r="J226" s="586" t="e">
        <f t="shared" si="31"/>
        <v>#DIV/0!</v>
      </c>
      <c r="K226" s="587" t="e">
        <f t="shared" si="32"/>
        <v>#N/A</v>
      </c>
      <c r="L226" s="587">
        <f t="shared" si="33"/>
        <v>0</v>
      </c>
      <c r="M226" s="588" t="e">
        <f t="shared" si="28"/>
        <v>#N/A</v>
      </c>
      <c r="N226" s="589" t="e">
        <f t="shared" si="29"/>
        <v>#N/A</v>
      </c>
      <c r="O226" s="589">
        <f t="shared" si="34"/>
        <v>0</v>
      </c>
      <c r="P226" s="66">
        <f t="shared" si="35"/>
      </c>
    </row>
    <row r="227" spans="1:16" ht="12.75">
      <c r="A227" s="591"/>
      <c r="B227" s="592"/>
      <c r="C227" s="593"/>
      <c r="D227" s="593"/>
      <c r="E227" s="596"/>
      <c r="F227" s="596"/>
      <c r="G227" s="584" t="e">
        <f t="shared" si="27"/>
        <v>#N/A</v>
      </c>
      <c r="H227" s="600"/>
      <c r="I227" s="585">
        <f t="shared" si="30"/>
        <v>0</v>
      </c>
      <c r="J227" s="586" t="e">
        <f t="shared" si="31"/>
        <v>#DIV/0!</v>
      </c>
      <c r="K227" s="587" t="e">
        <f t="shared" si="32"/>
        <v>#N/A</v>
      </c>
      <c r="L227" s="587">
        <f t="shared" si="33"/>
        <v>0</v>
      </c>
      <c r="M227" s="588" t="e">
        <f t="shared" si="28"/>
        <v>#N/A</v>
      </c>
      <c r="N227" s="589" t="e">
        <f t="shared" si="29"/>
        <v>#N/A</v>
      </c>
      <c r="O227" s="589">
        <f t="shared" si="34"/>
        <v>0</v>
      </c>
      <c r="P227" s="66">
        <f t="shared" si="35"/>
      </c>
    </row>
    <row r="228" spans="1:16" ht="12.75">
      <c r="A228" s="590"/>
      <c r="B228" s="592"/>
      <c r="C228" s="593"/>
      <c r="D228" s="593"/>
      <c r="E228" s="596"/>
      <c r="F228" s="596"/>
      <c r="G228" s="584" t="e">
        <f t="shared" si="27"/>
        <v>#N/A</v>
      </c>
      <c r="H228" s="600"/>
      <c r="I228" s="585">
        <f t="shared" si="30"/>
        <v>0</v>
      </c>
      <c r="J228" s="586" t="e">
        <f t="shared" si="31"/>
        <v>#DIV/0!</v>
      </c>
      <c r="K228" s="587" t="e">
        <f t="shared" si="32"/>
        <v>#N/A</v>
      </c>
      <c r="L228" s="587">
        <f t="shared" si="33"/>
        <v>0</v>
      </c>
      <c r="M228" s="588" t="e">
        <f t="shared" si="28"/>
        <v>#N/A</v>
      </c>
      <c r="N228" s="589" t="e">
        <f t="shared" si="29"/>
        <v>#N/A</v>
      </c>
      <c r="O228" s="589">
        <f t="shared" si="34"/>
        <v>0</v>
      </c>
      <c r="P228" s="66">
        <f t="shared" si="35"/>
      </c>
    </row>
    <row r="229" spans="1:16" ht="12.75">
      <c r="A229" s="590"/>
      <c r="B229" s="592"/>
      <c r="C229" s="599"/>
      <c r="D229" s="593"/>
      <c r="E229" s="596"/>
      <c r="F229" s="596"/>
      <c r="G229" s="584" t="e">
        <f t="shared" si="27"/>
        <v>#N/A</v>
      </c>
      <c r="H229" s="600"/>
      <c r="I229" s="585">
        <f t="shared" si="30"/>
        <v>0</v>
      </c>
      <c r="J229" s="586" t="e">
        <f t="shared" si="31"/>
        <v>#DIV/0!</v>
      </c>
      <c r="K229" s="587" t="e">
        <f t="shared" si="32"/>
        <v>#N/A</v>
      </c>
      <c r="L229" s="587">
        <f t="shared" si="33"/>
        <v>0</v>
      </c>
      <c r="M229" s="588" t="e">
        <f t="shared" si="28"/>
        <v>#N/A</v>
      </c>
      <c r="N229" s="589" t="e">
        <f t="shared" si="29"/>
        <v>#N/A</v>
      </c>
      <c r="O229" s="589">
        <f t="shared" si="34"/>
        <v>0</v>
      </c>
      <c r="P229" s="66">
        <f t="shared" si="35"/>
      </c>
    </row>
    <row r="230" spans="1:16" ht="12.75">
      <c r="A230" s="590"/>
      <c r="B230" s="592"/>
      <c r="C230" s="593"/>
      <c r="D230" s="593"/>
      <c r="E230" s="596"/>
      <c r="F230" s="596"/>
      <c r="G230" s="584" t="e">
        <f t="shared" si="27"/>
        <v>#N/A</v>
      </c>
      <c r="H230" s="600"/>
      <c r="I230" s="585">
        <f t="shared" si="30"/>
        <v>0</v>
      </c>
      <c r="J230" s="586" t="e">
        <f t="shared" si="31"/>
        <v>#DIV/0!</v>
      </c>
      <c r="K230" s="587" t="e">
        <f t="shared" si="32"/>
        <v>#N/A</v>
      </c>
      <c r="L230" s="587">
        <f t="shared" si="33"/>
        <v>0</v>
      </c>
      <c r="M230" s="588" t="e">
        <f t="shared" si="28"/>
        <v>#N/A</v>
      </c>
      <c r="N230" s="589" t="e">
        <f t="shared" si="29"/>
        <v>#N/A</v>
      </c>
      <c r="O230" s="589">
        <f t="shared" si="34"/>
        <v>0</v>
      </c>
      <c r="P230" s="66">
        <f t="shared" si="35"/>
      </c>
    </row>
    <row r="231" spans="1:16" ht="12.75">
      <c r="A231" s="590"/>
      <c r="B231" s="592"/>
      <c r="C231" s="593"/>
      <c r="D231" s="593"/>
      <c r="E231" s="596"/>
      <c r="F231" s="596"/>
      <c r="G231" s="584" t="e">
        <f t="shared" si="27"/>
        <v>#N/A</v>
      </c>
      <c r="H231" s="600"/>
      <c r="I231" s="585">
        <f t="shared" si="30"/>
        <v>0</v>
      </c>
      <c r="J231" s="586" t="e">
        <f t="shared" si="31"/>
        <v>#DIV/0!</v>
      </c>
      <c r="K231" s="587" t="e">
        <f t="shared" si="32"/>
        <v>#N/A</v>
      </c>
      <c r="L231" s="587">
        <f t="shared" si="33"/>
        <v>0</v>
      </c>
      <c r="M231" s="588" t="e">
        <f t="shared" si="28"/>
        <v>#N/A</v>
      </c>
      <c r="N231" s="589" t="e">
        <f t="shared" si="29"/>
        <v>#N/A</v>
      </c>
      <c r="O231" s="589">
        <f t="shared" si="34"/>
        <v>0</v>
      </c>
      <c r="P231" s="66">
        <f t="shared" si="35"/>
      </c>
    </row>
    <row r="232" spans="1:16" ht="12.75">
      <c r="A232" s="590"/>
      <c r="B232" s="592"/>
      <c r="C232" s="593"/>
      <c r="D232" s="593"/>
      <c r="E232" s="596"/>
      <c r="F232" s="596"/>
      <c r="G232" s="584" t="e">
        <f t="shared" si="27"/>
        <v>#N/A</v>
      </c>
      <c r="H232" s="600"/>
      <c r="I232" s="585">
        <f t="shared" si="30"/>
        <v>0</v>
      </c>
      <c r="J232" s="586" t="e">
        <f t="shared" si="31"/>
        <v>#DIV/0!</v>
      </c>
      <c r="K232" s="587" t="e">
        <f t="shared" si="32"/>
        <v>#N/A</v>
      </c>
      <c r="L232" s="587">
        <f t="shared" si="33"/>
        <v>0</v>
      </c>
      <c r="M232" s="588" t="e">
        <f t="shared" si="28"/>
        <v>#N/A</v>
      </c>
      <c r="N232" s="589" t="e">
        <f t="shared" si="29"/>
        <v>#N/A</v>
      </c>
      <c r="O232" s="589">
        <f t="shared" si="34"/>
        <v>0</v>
      </c>
      <c r="P232" s="66">
        <f t="shared" si="35"/>
      </c>
    </row>
    <row r="233" spans="1:16" ht="12.75">
      <c r="A233" s="590"/>
      <c r="B233" s="592"/>
      <c r="C233" s="593"/>
      <c r="D233" s="593"/>
      <c r="E233" s="596"/>
      <c r="F233" s="596"/>
      <c r="G233" s="584" t="e">
        <f t="shared" si="27"/>
        <v>#N/A</v>
      </c>
      <c r="H233" s="600"/>
      <c r="I233" s="585">
        <f t="shared" si="30"/>
        <v>0</v>
      </c>
      <c r="J233" s="586" t="e">
        <f t="shared" si="31"/>
        <v>#DIV/0!</v>
      </c>
      <c r="K233" s="587" t="e">
        <f t="shared" si="32"/>
        <v>#N/A</v>
      </c>
      <c r="L233" s="587">
        <f t="shared" si="33"/>
        <v>0</v>
      </c>
      <c r="M233" s="588" t="e">
        <f t="shared" si="28"/>
        <v>#N/A</v>
      </c>
      <c r="N233" s="589" t="e">
        <f t="shared" si="29"/>
        <v>#N/A</v>
      </c>
      <c r="O233" s="589">
        <f t="shared" si="34"/>
        <v>0</v>
      </c>
      <c r="P233" s="66">
        <f t="shared" si="35"/>
      </c>
    </row>
    <row r="234" spans="1:16" ht="12.75">
      <c r="A234" s="590"/>
      <c r="B234" s="592"/>
      <c r="C234" s="593"/>
      <c r="D234" s="593"/>
      <c r="E234" s="596"/>
      <c r="F234" s="596"/>
      <c r="G234" s="584" t="e">
        <f t="shared" si="27"/>
        <v>#N/A</v>
      </c>
      <c r="H234" s="600"/>
      <c r="I234" s="585">
        <f t="shared" si="30"/>
        <v>0</v>
      </c>
      <c r="J234" s="586" t="e">
        <f t="shared" si="31"/>
        <v>#DIV/0!</v>
      </c>
      <c r="K234" s="587" t="e">
        <f t="shared" si="32"/>
        <v>#N/A</v>
      </c>
      <c r="L234" s="587">
        <f t="shared" si="33"/>
        <v>0</v>
      </c>
      <c r="M234" s="588" t="e">
        <f t="shared" si="28"/>
        <v>#N/A</v>
      </c>
      <c r="N234" s="589" t="e">
        <f t="shared" si="29"/>
        <v>#N/A</v>
      </c>
      <c r="O234" s="589">
        <f t="shared" si="34"/>
        <v>0</v>
      </c>
      <c r="P234" s="66">
        <f t="shared" si="35"/>
      </c>
    </row>
    <row r="235" spans="1:16" ht="12.75">
      <c r="A235" s="590"/>
      <c r="B235" s="592"/>
      <c r="C235" s="599"/>
      <c r="D235" s="593"/>
      <c r="E235" s="596"/>
      <c r="F235" s="596"/>
      <c r="G235" s="584" t="e">
        <f t="shared" si="27"/>
        <v>#N/A</v>
      </c>
      <c r="H235" s="600"/>
      <c r="I235" s="585">
        <f t="shared" si="30"/>
        <v>0</v>
      </c>
      <c r="J235" s="586" t="e">
        <f t="shared" si="31"/>
        <v>#DIV/0!</v>
      </c>
      <c r="K235" s="587" t="e">
        <f t="shared" si="32"/>
        <v>#N/A</v>
      </c>
      <c r="L235" s="587">
        <f t="shared" si="33"/>
        <v>0</v>
      </c>
      <c r="M235" s="588" t="e">
        <f t="shared" si="28"/>
        <v>#N/A</v>
      </c>
      <c r="N235" s="589" t="e">
        <f t="shared" si="29"/>
        <v>#N/A</v>
      </c>
      <c r="O235" s="589">
        <f t="shared" si="34"/>
        <v>0</v>
      </c>
      <c r="P235" s="66">
        <f t="shared" si="35"/>
      </c>
    </row>
    <row r="236" spans="1:16" ht="12.75">
      <c r="A236" s="590"/>
      <c r="B236" s="592"/>
      <c r="C236" s="593"/>
      <c r="D236" s="593"/>
      <c r="E236" s="596"/>
      <c r="F236" s="596"/>
      <c r="G236" s="584" t="e">
        <f t="shared" si="27"/>
        <v>#N/A</v>
      </c>
      <c r="H236" s="600"/>
      <c r="I236" s="585">
        <f t="shared" si="30"/>
        <v>0</v>
      </c>
      <c r="J236" s="586" t="e">
        <f t="shared" si="31"/>
        <v>#DIV/0!</v>
      </c>
      <c r="K236" s="587" t="e">
        <f t="shared" si="32"/>
        <v>#N/A</v>
      </c>
      <c r="L236" s="587">
        <f t="shared" si="33"/>
        <v>0</v>
      </c>
      <c r="M236" s="588" t="e">
        <f t="shared" si="28"/>
        <v>#N/A</v>
      </c>
      <c r="N236" s="589" t="e">
        <f t="shared" si="29"/>
        <v>#N/A</v>
      </c>
      <c r="O236" s="589">
        <f t="shared" si="34"/>
        <v>0</v>
      </c>
      <c r="P236" s="66">
        <f t="shared" si="35"/>
      </c>
    </row>
    <row r="237" spans="1:16" ht="12.75">
      <c r="A237" s="590"/>
      <c r="B237" s="592"/>
      <c r="C237" s="593"/>
      <c r="D237" s="593"/>
      <c r="E237" s="596"/>
      <c r="F237" s="596"/>
      <c r="G237" s="584" t="e">
        <f t="shared" si="27"/>
        <v>#N/A</v>
      </c>
      <c r="H237" s="600"/>
      <c r="I237" s="585">
        <f t="shared" si="30"/>
        <v>0</v>
      </c>
      <c r="J237" s="586" t="e">
        <f t="shared" si="31"/>
        <v>#DIV/0!</v>
      </c>
      <c r="K237" s="587" t="e">
        <f t="shared" si="32"/>
        <v>#N/A</v>
      </c>
      <c r="L237" s="587">
        <f t="shared" si="33"/>
        <v>0</v>
      </c>
      <c r="M237" s="588" t="e">
        <f t="shared" si="28"/>
        <v>#N/A</v>
      </c>
      <c r="N237" s="589" t="e">
        <f t="shared" si="29"/>
        <v>#N/A</v>
      </c>
      <c r="O237" s="589">
        <f t="shared" si="34"/>
        <v>0</v>
      </c>
      <c r="P237" s="66">
        <f t="shared" si="35"/>
      </c>
    </row>
    <row r="238" spans="1:16" ht="12.75">
      <c r="A238" s="590"/>
      <c r="B238" s="592"/>
      <c r="C238" s="593"/>
      <c r="D238" s="593"/>
      <c r="E238" s="596"/>
      <c r="F238" s="596"/>
      <c r="G238" s="584" t="e">
        <f t="shared" si="27"/>
        <v>#N/A</v>
      </c>
      <c r="H238" s="600"/>
      <c r="I238" s="585">
        <f t="shared" si="30"/>
        <v>0</v>
      </c>
      <c r="J238" s="586" t="e">
        <f t="shared" si="31"/>
        <v>#DIV/0!</v>
      </c>
      <c r="K238" s="587" t="e">
        <f t="shared" si="32"/>
        <v>#N/A</v>
      </c>
      <c r="L238" s="587">
        <f t="shared" si="33"/>
        <v>0</v>
      </c>
      <c r="M238" s="588" t="e">
        <f t="shared" si="28"/>
        <v>#N/A</v>
      </c>
      <c r="N238" s="589" t="e">
        <f t="shared" si="29"/>
        <v>#N/A</v>
      </c>
      <c r="O238" s="589">
        <f t="shared" si="34"/>
        <v>0</v>
      </c>
      <c r="P238" s="66">
        <f t="shared" si="35"/>
      </c>
    </row>
    <row r="239" spans="1:16" ht="12.75">
      <c r="A239" s="590"/>
      <c r="B239" s="592"/>
      <c r="C239" s="593"/>
      <c r="D239" s="593"/>
      <c r="E239" s="596"/>
      <c r="F239" s="596"/>
      <c r="G239" s="584" t="e">
        <f t="shared" si="27"/>
        <v>#N/A</v>
      </c>
      <c r="H239" s="600"/>
      <c r="I239" s="585">
        <f t="shared" si="30"/>
        <v>0</v>
      </c>
      <c r="J239" s="586" t="e">
        <f t="shared" si="31"/>
        <v>#DIV/0!</v>
      </c>
      <c r="K239" s="587" t="e">
        <f t="shared" si="32"/>
        <v>#N/A</v>
      </c>
      <c r="L239" s="587">
        <f t="shared" si="33"/>
        <v>0</v>
      </c>
      <c r="M239" s="588" t="e">
        <f t="shared" si="28"/>
        <v>#N/A</v>
      </c>
      <c r="N239" s="589" t="e">
        <f t="shared" si="29"/>
        <v>#N/A</v>
      </c>
      <c r="O239" s="589">
        <f t="shared" si="34"/>
        <v>0</v>
      </c>
      <c r="P239" s="66">
        <f t="shared" si="35"/>
      </c>
    </row>
    <row r="240" spans="1:16" ht="12.75">
      <c r="A240" s="590"/>
      <c r="B240" s="592"/>
      <c r="C240" s="593"/>
      <c r="D240" s="593"/>
      <c r="E240" s="596"/>
      <c r="F240" s="596"/>
      <c r="G240" s="584" t="e">
        <f t="shared" si="27"/>
        <v>#N/A</v>
      </c>
      <c r="H240" s="600"/>
      <c r="I240" s="585">
        <f t="shared" si="30"/>
        <v>0</v>
      </c>
      <c r="J240" s="586" t="e">
        <f t="shared" si="31"/>
        <v>#DIV/0!</v>
      </c>
      <c r="K240" s="587" t="e">
        <f t="shared" si="32"/>
        <v>#N/A</v>
      </c>
      <c r="L240" s="587">
        <f t="shared" si="33"/>
        <v>0</v>
      </c>
      <c r="M240" s="588" t="e">
        <f t="shared" si="28"/>
        <v>#N/A</v>
      </c>
      <c r="N240" s="589" t="e">
        <f t="shared" si="29"/>
        <v>#N/A</v>
      </c>
      <c r="O240" s="589">
        <f t="shared" si="34"/>
        <v>0</v>
      </c>
      <c r="P240" s="66">
        <f t="shared" si="35"/>
      </c>
    </row>
    <row r="241" spans="1:16" ht="12.75">
      <c r="A241" s="590"/>
      <c r="B241" s="592"/>
      <c r="C241" s="599"/>
      <c r="D241" s="593"/>
      <c r="E241" s="596"/>
      <c r="F241" s="596"/>
      <c r="G241" s="584" t="e">
        <f t="shared" si="27"/>
        <v>#N/A</v>
      </c>
      <c r="H241" s="600"/>
      <c r="I241" s="585">
        <f t="shared" si="30"/>
        <v>0</v>
      </c>
      <c r="J241" s="586" t="e">
        <f t="shared" si="31"/>
        <v>#DIV/0!</v>
      </c>
      <c r="K241" s="587" t="e">
        <f t="shared" si="32"/>
        <v>#N/A</v>
      </c>
      <c r="L241" s="587">
        <f t="shared" si="33"/>
        <v>0</v>
      </c>
      <c r="M241" s="588" t="e">
        <f t="shared" si="28"/>
        <v>#N/A</v>
      </c>
      <c r="N241" s="589" t="e">
        <f t="shared" si="29"/>
        <v>#N/A</v>
      </c>
      <c r="O241" s="589">
        <f t="shared" si="34"/>
        <v>0</v>
      </c>
      <c r="P241" s="66">
        <f t="shared" si="35"/>
      </c>
    </row>
    <row r="242" spans="1:16" ht="12.75">
      <c r="A242" s="590"/>
      <c r="B242" s="592"/>
      <c r="C242" s="593"/>
      <c r="D242" s="593"/>
      <c r="E242" s="596"/>
      <c r="F242" s="596"/>
      <c r="G242" s="584" t="e">
        <f t="shared" si="27"/>
        <v>#N/A</v>
      </c>
      <c r="H242" s="600"/>
      <c r="I242" s="585">
        <f t="shared" si="30"/>
        <v>0</v>
      </c>
      <c r="J242" s="586" t="e">
        <f t="shared" si="31"/>
        <v>#DIV/0!</v>
      </c>
      <c r="K242" s="587" t="e">
        <f t="shared" si="32"/>
        <v>#N/A</v>
      </c>
      <c r="L242" s="587">
        <f t="shared" si="33"/>
        <v>0</v>
      </c>
      <c r="M242" s="588" t="e">
        <f t="shared" si="28"/>
        <v>#N/A</v>
      </c>
      <c r="N242" s="589" t="e">
        <f t="shared" si="29"/>
        <v>#N/A</v>
      </c>
      <c r="O242" s="589">
        <f t="shared" si="34"/>
        <v>0</v>
      </c>
      <c r="P242" s="66">
        <f t="shared" si="35"/>
      </c>
    </row>
    <row r="243" spans="1:16" ht="12.75">
      <c r="A243" s="590"/>
      <c r="B243" s="592"/>
      <c r="C243" s="593"/>
      <c r="D243" s="593"/>
      <c r="E243" s="596"/>
      <c r="F243" s="596"/>
      <c r="G243" s="584" t="e">
        <f t="shared" si="27"/>
        <v>#N/A</v>
      </c>
      <c r="H243" s="600"/>
      <c r="I243" s="585">
        <f t="shared" si="30"/>
        <v>0</v>
      </c>
      <c r="J243" s="586" t="e">
        <f t="shared" si="31"/>
        <v>#DIV/0!</v>
      </c>
      <c r="K243" s="587" t="e">
        <f t="shared" si="32"/>
        <v>#N/A</v>
      </c>
      <c r="L243" s="587">
        <f t="shared" si="33"/>
        <v>0</v>
      </c>
      <c r="M243" s="588" t="e">
        <f t="shared" si="28"/>
        <v>#N/A</v>
      </c>
      <c r="N243" s="589" t="e">
        <f t="shared" si="29"/>
        <v>#N/A</v>
      </c>
      <c r="O243" s="589">
        <f t="shared" si="34"/>
        <v>0</v>
      </c>
      <c r="P243" s="66">
        <f t="shared" si="35"/>
      </c>
    </row>
    <row r="244" spans="1:16" ht="12.75">
      <c r="A244" s="590"/>
      <c r="B244" s="592"/>
      <c r="C244" s="593"/>
      <c r="D244" s="593"/>
      <c r="E244" s="596"/>
      <c r="F244" s="596"/>
      <c r="G244" s="584" t="e">
        <f t="shared" si="27"/>
        <v>#N/A</v>
      </c>
      <c r="H244" s="600"/>
      <c r="I244" s="585">
        <f t="shared" si="30"/>
        <v>0</v>
      </c>
      <c r="J244" s="586" t="e">
        <f t="shared" si="31"/>
        <v>#DIV/0!</v>
      </c>
      <c r="K244" s="587" t="e">
        <f t="shared" si="32"/>
        <v>#N/A</v>
      </c>
      <c r="L244" s="587">
        <f t="shared" si="33"/>
        <v>0</v>
      </c>
      <c r="M244" s="588" t="e">
        <f t="shared" si="28"/>
        <v>#N/A</v>
      </c>
      <c r="N244" s="589" t="e">
        <f t="shared" si="29"/>
        <v>#N/A</v>
      </c>
      <c r="O244" s="589">
        <f t="shared" si="34"/>
        <v>0</v>
      </c>
      <c r="P244" s="66">
        <f t="shared" si="35"/>
      </c>
    </row>
    <row r="245" spans="1:16" ht="12.75">
      <c r="A245" s="590"/>
      <c r="B245" s="592"/>
      <c r="C245" s="593"/>
      <c r="D245" s="593"/>
      <c r="E245" s="596"/>
      <c r="F245" s="596"/>
      <c r="G245" s="584" t="e">
        <f t="shared" si="27"/>
        <v>#N/A</v>
      </c>
      <c r="H245" s="600"/>
      <c r="I245" s="585">
        <f t="shared" si="30"/>
        <v>0</v>
      </c>
      <c r="J245" s="586" t="e">
        <f t="shared" si="31"/>
        <v>#DIV/0!</v>
      </c>
      <c r="K245" s="587" t="e">
        <f t="shared" si="32"/>
        <v>#N/A</v>
      </c>
      <c r="L245" s="587">
        <f t="shared" si="33"/>
        <v>0</v>
      </c>
      <c r="M245" s="588" t="e">
        <f t="shared" si="28"/>
        <v>#N/A</v>
      </c>
      <c r="N245" s="589" t="e">
        <f t="shared" si="29"/>
        <v>#N/A</v>
      </c>
      <c r="O245" s="589">
        <f t="shared" si="34"/>
        <v>0</v>
      </c>
      <c r="P245" s="66">
        <f t="shared" si="35"/>
      </c>
    </row>
    <row r="246" spans="1:16" ht="12.75">
      <c r="A246" s="590"/>
      <c r="B246" s="592"/>
      <c r="C246" s="593"/>
      <c r="D246" s="593"/>
      <c r="E246" s="596"/>
      <c r="F246" s="596"/>
      <c r="G246" s="584" t="e">
        <f t="shared" si="27"/>
        <v>#N/A</v>
      </c>
      <c r="H246" s="600"/>
      <c r="I246" s="585">
        <f t="shared" si="30"/>
        <v>0</v>
      </c>
      <c r="J246" s="586" t="e">
        <f t="shared" si="31"/>
        <v>#DIV/0!</v>
      </c>
      <c r="K246" s="587" t="e">
        <f t="shared" si="32"/>
        <v>#N/A</v>
      </c>
      <c r="L246" s="587">
        <f t="shared" si="33"/>
        <v>0</v>
      </c>
      <c r="M246" s="588" t="e">
        <f t="shared" si="28"/>
        <v>#N/A</v>
      </c>
      <c r="N246" s="589" t="e">
        <f t="shared" si="29"/>
        <v>#N/A</v>
      </c>
      <c r="O246" s="589">
        <f t="shared" si="34"/>
        <v>0</v>
      </c>
      <c r="P246" s="66">
        <f t="shared" si="35"/>
      </c>
    </row>
    <row r="247" spans="1:16" ht="12.75">
      <c r="A247" s="590"/>
      <c r="B247" s="592"/>
      <c r="C247" s="599"/>
      <c r="D247" s="593"/>
      <c r="E247" s="596"/>
      <c r="F247" s="596"/>
      <c r="G247" s="584" t="e">
        <f t="shared" si="27"/>
        <v>#N/A</v>
      </c>
      <c r="H247" s="600"/>
      <c r="I247" s="585">
        <f t="shared" si="30"/>
        <v>0</v>
      </c>
      <c r="J247" s="586" t="e">
        <f t="shared" si="31"/>
        <v>#DIV/0!</v>
      </c>
      <c r="K247" s="587" t="e">
        <f t="shared" si="32"/>
        <v>#N/A</v>
      </c>
      <c r="L247" s="587">
        <f t="shared" si="33"/>
        <v>0</v>
      </c>
      <c r="M247" s="588" t="e">
        <f t="shared" si="28"/>
        <v>#N/A</v>
      </c>
      <c r="N247" s="589" t="e">
        <f t="shared" si="29"/>
        <v>#N/A</v>
      </c>
      <c r="O247" s="589">
        <f t="shared" si="34"/>
        <v>0</v>
      </c>
      <c r="P247" s="66">
        <f t="shared" si="35"/>
      </c>
    </row>
    <row r="248" spans="1:16" ht="12.75">
      <c r="A248" s="590"/>
      <c r="B248" s="592"/>
      <c r="C248" s="593"/>
      <c r="D248" s="593"/>
      <c r="E248" s="596"/>
      <c r="F248" s="596"/>
      <c r="G248" s="584" t="e">
        <f t="shared" si="27"/>
        <v>#N/A</v>
      </c>
      <c r="H248" s="600"/>
      <c r="I248" s="585">
        <f t="shared" si="30"/>
        <v>0</v>
      </c>
      <c r="J248" s="586" t="e">
        <f t="shared" si="31"/>
        <v>#DIV/0!</v>
      </c>
      <c r="K248" s="587" t="e">
        <f t="shared" si="32"/>
        <v>#N/A</v>
      </c>
      <c r="L248" s="587">
        <f t="shared" si="33"/>
        <v>0</v>
      </c>
      <c r="M248" s="588" t="e">
        <f t="shared" si="28"/>
        <v>#N/A</v>
      </c>
      <c r="N248" s="589" t="e">
        <f t="shared" si="29"/>
        <v>#N/A</v>
      </c>
      <c r="O248" s="589">
        <f t="shared" si="34"/>
        <v>0</v>
      </c>
      <c r="P248" s="66">
        <f t="shared" si="35"/>
      </c>
    </row>
    <row r="249" spans="1:16" ht="12.75">
      <c r="A249" s="590"/>
      <c r="B249" s="592"/>
      <c r="C249" s="593"/>
      <c r="D249" s="593"/>
      <c r="E249" s="596"/>
      <c r="F249" s="596"/>
      <c r="G249" s="584" t="e">
        <f t="shared" si="27"/>
        <v>#N/A</v>
      </c>
      <c r="H249" s="600"/>
      <c r="I249" s="585">
        <f t="shared" si="30"/>
        <v>0</v>
      </c>
      <c r="J249" s="586" t="e">
        <f t="shared" si="31"/>
        <v>#DIV/0!</v>
      </c>
      <c r="K249" s="587" t="e">
        <f t="shared" si="32"/>
        <v>#N/A</v>
      </c>
      <c r="L249" s="587">
        <f t="shared" si="33"/>
        <v>0</v>
      </c>
      <c r="M249" s="588" t="e">
        <f t="shared" si="28"/>
        <v>#N/A</v>
      </c>
      <c r="N249" s="589" t="e">
        <f t="shared" si="29"/>
        <v>#N/A</v>
      </c>
      <c r="O249" s="589">
        <f t="shared" si="34"/>
        <v>0</v>
      </c>
      <c r="P249" s="66">
        <f t="shared" si="35"/>
      </c>
    </row>
    <row r="250" spans="1:16" ht="12.75">
      <c r="A250" s="590"/>
      <c r="B250" s="592"/>
      <c r="C250" s="593"/>
      <c r="D250" s="593"/>
      <c r="E250" s="596"/>
      <c r="F250" s="596"/>
      <c r="G250" s="584" t="e">
        <f t="shared" si="27"/>
        <v>#N/A</v>
      </c>
      <c r="H250" s="600"/>
      <c r="I250" s="585">
        <f t="shared" si="30"/>
        <v>0</v>
      </c>
      <c r="J250" s="586" t="e">
        <f t="shared" si="31"/>
        <v>#DIV/0!</v>
      </c>
      <c r="K250" s="587" t="e">
        <f t="shared" si="32"/>
        <v>#N/A</v>
      </c>
      <c r="L250" s="587">
        <f t="shared" si="33"/>
        <v>0</v>
      </c>
      <c r="M250" s="588" t="e">
        <f t="shared" si="28"/>
        <v>#N/A</v>
      </c>
      <c r="N250" s="589" t="e">
        <f t="shared" si="29"/>
        <v>#N/A</v>
      </c>
      <c r="O250" s="589">
        <f t="shared" si="34"/>
        <v>0</v>
      </c>
      <c r="P250" s="66">
        <f t="shared" si="35"/>
      </c>
    </row>
    <row r="251" spans="1:16" ht="12.75">
      <c r="A251" s="590"/>
      <c r="B251" s="592"/>
      <c r="C251" s="593"/>
      <c r="D251" s="593"/>
      <c r="E251" s="596"/>
      <c r="F251" s="596"/>
      <c r="G251" s="584" t="e">
        <f t="shared" si="27"/>
        <v>#N/A</v>
      </c>
      <c r="H251" s="600"/>
      <c r="I251" s="585">
        <f t="shared" si="30"/>
        <v>0</v>
      </c>
      <c r="J251" s="586" t="e">
        <f t="shared" si="31"/>
        <v>#DIV/0!</v>
      </c>
      <c r="K251" s="587" t="e">
        <f t="shared" si="32"/>
        <v>#N/A</v>
      </c>
      <c r="L251" s="587">
        <f t="shared" si="33"/>
        <v>0</v>
      </c>
      <c r="M251" s="588" t="e">
        <f t="shared" si="28"/>
        <v>#N/A</v>
      </c>
      <c r="N251" s="589" t="e">
        <f t="shared" si="29"/>
        <v>#N/A</v>
      </c>
      <c r="O251" s="589">
        <f t="shared" si="34"/>
        <v>0</v>
      </c>
      <c r="P251" s="66">
        <f t="shared" si="35"/>
      </c>
    </row>
    <row r="252" spans="1:16" ht="12.75">
      <c r="A252" s="590"/>
      <c r="B252" s="592"/>
      <c r="C252" s="593"/>
      <c r="D252" s="593"/>
      <c r="E252" s="596"/>
      <c r="F252" s="596"/>
      <c r="G252" s="584" t="e">
        <f t="shared" si="27"/>
        <v>#N/A</v>
      </c>
      <c r="H252" s="600"/>
      <c r="I252" s="585">
        <f t="shared" si="30"/>
        <v>0</v>
      </c>
      <c r="J252" s="586" t="e">
        <f t="shared" si="31"/>
        <v>#DIV/0!</v>
      </c>
      <c r="K252" s="587" t="e">
        <f t="shared" si="32"/>
        <v>#N/A</v>
      </c>
      <c r="L252" s="587">
        <f t="shared" si="33"/>
        <v>0</v>
      </c>
      <c r="M252" s="588" t="e">
        <f t="shared" si="28"/>
        <v>#N/A</v>
      </c>
      <c r="N252" s="589" t="e">
        <f t="shared" si="29"/>
        <v>#N/A</v>
      </c>
      <c r="O252" s="589">
        <f t="shared" si="34"/>
        <v>0</v>
      </c>
      <c r="P252" s="66">
        <f t="shared" si="35"/>
      </c>
    </row>
    <row r="253" spans="1:16" ht="12.75">
      <c r="A253" s="590"/>
      <c r="B253" s="592"/>
      <c r="C253" s="599"/>
      <c r="D253" s="593"/>
      <c r="E253" s="596"/>
      <c r="F253" s="596"/>
      <c r="G253" s="584" t="e">
        <f t="shared" si="27"/>
        <v>#N/A</v>
      </c>
      <c r="H253" s="600"/>
      <c r="I253" s="585">
        <f t="shared" si="30"/>
        <v>0</v>
      </c>
      <c r="J253" s="586" t="e">
        <f t="shared" si="31"/>
        <v>#DIV/0!</v>
      </c>
      <c r="K253" s="587" t="e">
        <f t="shared" si="32"/>
        <v>#N/A</v>
      </c>
      <c r="L253" s="587">
        <f t="shared" si="33"/>
        <v>0</v>
      </c>
      <c r="M253" s="588" t="e">
        <f t="shared" si="28"/>
        <v>#N/A</v>
      </c>
      <c r="N253" s="589" t="e">
        <f t="shared" si="29"/>
        <v>#N/A</v>
      </c>
      <c r="O253" s="589">
        <f t="shared" si="34"/>
        <v>0</v>
      </c>
      <c r="P253" s="66">
        <f t="shared" si="35"/>
      </c>
    </row>
    <row r="254" spans="1:16" ht="12.75">
      <c r="A254" s="590"/>
      <c r="B254" s="592"/>
      <c r="C254" s="593"/>
      <c r="D254" s="593"/>
      <c r="E254" s="596"/>
      <c r="F254" s="596"/>
      <c r="G254" s="584" t="e">
        <f t="shared" si="27"/>
        <v>#N/A</v>
      </c>
      <c r="H254" s="600"/>
      <c r="I254" s="585">
        <f t="shared" si="30"/>
        <v>0</v>
      </c>
      <c r="J254" s="586" t="e">
        <f t="shared" si="31"/>
        <v>#DIV/0!</v>
      </c>
      <c r="K254" s="587" t="e">
        <f t="shared" si="32"/>
        <v>#N/A</v>
      </c>
      <c r="L254" s="587">
        <f t="shared" si="33"/>
        <v>0</v>
      </c>
      <c r="M254" s="588" t="e">
        <f t="shared" si="28"/>
        <v>#N/A</v>
      </c>
      <c r="N254" s="589" t="e">
        <f t="shared" si="29"/>
        <v>#N/A</v>
      </c>
      <c r="O254" s="589">
        <f t="shared" si="34"/>
        <v>0</v>
      </c>
      <c r="P254" s="66">
        <f t="shared" si="35"/>
      </c>
    </row>
    <row r="255" spans="1:16" ht="12.75">
      <c r="A255" s="590"/>
      <c r="B255" s="592"/>
      <c r="C255" s="593"/>
      <c r="D255" s="593"/>
      <c r="E255" s="596"/>
      <c r="F255" s="596"/>
      <c r="G255" s="584" t="e">
        <f t="shared" si="27"/>
        <v>#N/A</v>
      </c>
      <c r="H255" s="600"/>
      <c r="I255" s="585">
        <f t="shared" si="30"/>
        <v>0</v>
      </c>
      <c r="J255" s="586" t="e">
        <f t="shared" si="31"/>
        <v>#DIV/0!</v>
      </c>
      <c r="K255" s="587" t="e">
        <f t="shared" si="32"/>
        <v>#N/A</v>
      </c>
      <c r="L255" s="587">
        <f t="shared" si="33"/>
        <v>0</v>
      </c>
      <c r="M255" s="588" t="e">
        <f t="shared" si="28"/>
        <v>#N/A</v>
      </c>
      <c r="N255" s="589" t="e">
        <f t="shared" si="29"/>
        <v>#N/A</v>
      </c>
      <c r="O255" s="589">
        <f t="shared" si="34"/>
        <v>0</v>
      </c>
      <c r="P255" s="66">
        <f t="shared" si="35"/>
      </c>
    </row>
    <row r="256" spans="1:16" ht="12.75">
      <c r="A256" s="590"/>
      <c r="B256" s="592"/>
      <c r="C256" s="593"/>
      <c r="D256" s="593"/>
      <c r="E256" s="596"/>
      <c r="F256" s="596"/>
      <c r="G256" s="584" t="e">
        <f t="shared" si="27"/>
        <v>#N/A</v>
      </c>
      <c r="H256" s="600"/>
      <c r="I256" s="585">
        <f t="shared" si="30"/>
        <v>0</v>
      </c>
      <c r="J256" s="586" t="e">
        <f t="shared" si="31"/>
        <v>#DIV/0!</v>
      </c>
      <c r="K256" s="587" t="e">
        <f t="shared" si="32"/>
        <v>#N/A</v>
      </c>
      <c r="L256" s="587">
        <f t="shared" si="33"/>
        <v>0</v>
      </c>
      <c r="M256" s="588" t="e">
        <f t="shared" si="28"/>
        <v>#N/A</v>
      </c>
      <c r="N256" s="589" t="e">
        <f t="shared" si="29"/>
        <v>#N/A</v>
      </c>
      <c r="O256" s="589">
        <f t="shared" si="34"/>
        <v>0</v>
      </c>
      <c r="P256" s="66">
        <f t="shared" si="35"/>
      </c>
    </row>
    <row r="257" spans="1:16" ht="12.75">
      <c r="A257" s="590"/>
      <c r="B257" s="592"/>
      <c r="C257" s="593"/>
      <c r="D257" s="593"/>
      <c r="E257" s="596"/>
      <c r="F257" s="596"/>
      <c r="G257" s="584" t="e">
        <f t="shared" si="27"/>
        <v>#N/A</v>
      </c>
      <c r="H257" s="600"/>
      <c r="I257" s="585">
        <f t="shared" si="30"/>
        <v>0</v>
      </c>
      <c r="J257" s="586" t="e">
        <f t="shared" si="31"/>
        <v>#DIV/0!</v>
      </c>
      <c r="K257" s="587" t="e">
        <f t="shared" si="32"/>
        <v>#N/A</v>
      </c>
      <c r="L257" s="587">
        <f t="shared" si="33"/>
        <v>0</v>
      </c>
      <c r="M257" s="588" t="e">
        <f t="shared" si="28"/>
        <v>#N/A</v>
      </c>
      <c r="N257" s="589" t="e">
        <f t="shared" si="29"/>
        <v>#N/A</v>
      </c>
      <c r="O257" s="589">
        <f t="shared" si="34"/>
        <v>0</v>
      </c>
      <c r="P257" s="66">
        <f t="shared" si="35"/>
      </c>
    </row>
    <row r="258" spans="1:16" ht="12.75">
      <c r="A258" s="590"/>
      <c r="B258" s="592"/>
      <c r="C258" s="593"/>
      <c r="D258" s="593"/>
      <c r="E258" s="596"/>
      <c r="F258" s="596"/>
      <c r="G258" s="584" t="e">
        <f t="shared" si="27"/>
        <v>#N/A</v>
      </c>
      <c r="H258" s="600"/>
      <c r="I258" s="585">
        <f t="shared" si="30"/>
        <v>0</v>
      </c>
      <c r="J258" s="586" t="e">
        <f t="shared" si="31"/>
        <v>#DIV/0!</v>
      </c>
      <c r="K258" s="587" t="e">
        <f t="shared" si="32"/>
        <v>#N/A</v>
      </c>
      <c r="L258" s="587">
        <f t="shared" si="33"/>
        <v>0</v>
      </c>
      <c r="M258" s="588" t="e">
        <f t="shared" si="28"/>
        <v>#N/A</v>
      </c>
      <c r="N258" s="589" t="e">
        <f t="shared" si="29"/>
        <v>#N/A</v>
      </c>
      <c r="O258" s="589">
        <f t="shared" si="34"/>
        <v>0</v>
      </c>
      <c r="P258" s="66">
        <f t="shared" si="35"/>
      </c>
    </row>
    <row r="259" spans="1:16" ht="12.75">
      <c r="A259" s="590"/>
      <c r="B259" s="592"/>
      <c r="C259" s="599"/>
      <c r="D259" s="593"/>
      <c r="E259" s="596"/>
      <c r="F259" s="596"/>
      <c r="G259" s="584" t="e">
        <f t="shared" si="27"/>
        <v>#N/A</v>
      </c>
      <c r="H259" s="600"/>
      <c r="I259" s="585">
        <f t="shared" si="30"/>
        <v>0</v>
      </c>
      <c r="J259" s="586" t="e">
        <f t="shared" si="31"/>
        <v>#DIV/0!</v>
      </c>
      <c r="K259" s="587" t="e">
        <f t="shared" si="32"/>
        <v>#N/A</v>
      </c>
      <c r="L259" s="587">
        <f t="shared" si="33"/>
        <v>0</v>
      </c>
      <c r="M259" s="588" t="e">
        <f t="shared" si="28"/>
        <v>#N/A</v>
      </c>
      <c r="N259" s="589" t="e">
        <f t="shared" si="29"/>
        <v>#N/A</v>
      </c>
      <c r="O259" s="589">
        <f t="shared" si="34"/>
        <v>0</v>
      </c>
      <c r="P259" s="66">
        <f t="shared" si="35"/>
      </c>
    </row>
    <row r="260" spans="1:16" ht="12.75">
      <c r="A260" s="590"/>
      <c r="B260" s="592"/>
      <c r="C260" s="593"/>
      <c r="D260" s="593"/>
      <c r="E260" s="596"/>
      <c r="F260" s="596"/>
      <c r="G260" s="584" t="e">
        <f t="shared" si="27"/>
        <v>#N/A</v>
      </c>
      <c r="H260" s="600"/>
      <c r="I260" s="585">
        <f t="shared" si="30"/>
        <v>0</v>
      </c>
      <c r="J260" s="586" t="e">
        <f t="shared" si="31"/>
        <v>#DIV/0!</v>
      </c>
      <c r="K260" s="587" t="e">
        <f t="shared" si="32"/>
        <v>#N/A</v>
      </c>
      <c r="L260" s="587">
        <f t="shared" si="33"/>
        <v>0</v>
      </c>
      <c r="M260" s="588" t="e">
        <f t="shared" si="28"/>
        <v>#N/A</v>
      </c>
      <c r="N260" s="589" t="e">
        <f t="shared" si="29"/>
        <v>#N/A</v>
      </c>
      <c r="O260" s="589">
        <f t="shared" si="34"/>
        <v>0</v>
      </c>
      <c r="P260" s="66">
        <f t="shared" si="35"/>
      </c>
    </row>
    <row r="261" spans="1:16" ht="12.75">
      <c r="A261" s="590"/>
      <c r="B261" s="592"/>
      <c r="C261" s="593"/>
      <c r="D261" s="593"/>
      <c r="E261" s="596"/>
      <c r="F261" s="596"/>
      <c r="G261" s="584" t="e">
        <f t="shared" si="27"/>
        <v>#N/A</v>
      </c>
      <c r="H261" s="600"/>
      <c r="I261" s="585">
        <f t="shared" si="30"/>
        <v>0</v>
      </c>
      <c r="J261" s="586" t="e">
        <f t="shared" si="31"/>
        <v>#DIV/0!</v>
      </c>
      <c r="K261" s="587" t="e">
        <f t="shared" si="32"/>
        <v>#N/A</v>
      </c>
      <c r="L261" s="587">
        <f t="shared" si="33"/>
        <v>0</v>
      </c>
      <c r="M261" s="588" t="e">
        <f t="shared" si="28"/>
        <v>#N/A</v>
      </c>
      <c r="N261" s="589" t="e">
        <f t="shared" si="29"/>
        <v>#N/A</v>
      </c>
      <c r="O261" s="589">
        <f t="shared" si="34"/>
        <v>0</v>
      </c>
      <c r="P261" s="66">
        <f t="shared" si="35"/>
      </c>
    </row>
    <row r="262" spans="1:16" ht="12.75">
      <c r="A262" s="590"/>
      <c r="B262" s="592"/>
      <c r="C262" s="593"/>
      <c r="D262" s="593"/>
      <c r="E262" s="596"/>
      <c r="F262" s="596"/>
      <c r="G262" s="584" t="e">
        <f t="shared" si="27"/>
        <v>#N/A</v>
      </c>
      <c r="H262" s="600"/>
      <c r="I262" s="585">
        <f t="shared" si="30"/>
        <v>0</v>
      </c>
      <c r="J262" s="586" t="e">
        <f t="shared" si="31"/>
        <v>#DIV/0!</v>
      </c>
      <c r="K262" s="587" t="e">
        <f t="shared" si="32"/>
        <v>#N/A</v>
      </c>
      <c r="L262" s="587">
        <f t="shared" si="33"/>
        <v>0</v>
      </c>
      <c r="M262" s="588" t="e">
        <f t="shared" si="28"/>
        <v>#N/A</v>
      </c>
      <c r="N262" s="589" t="e">
        <f t="shared" si="29"/>
        <v>#N/A</v>
      </c>
      <c r="O262" s="589">
        <f t="shared" si="34"/>
        <v>0</v>
      </c>
      <c r="P262" s="66">
        <f t="shared" si="35"/>
      </c>
    </row>
    <row r="263" spans="1:16" ht="12.75">
      <c r="A263" s="590"/>
      <c r="B263" s="592"/>
      <c r="C263" s="593"/>
      <c r="D263" s="593"/>
      <c r="E263" s="596"/>
      <c r="F263" s="596"/>
      <c r="G263" s="584" t="e">
        <f t="shared" si="27"/>
        <v>#N/A</v>
      </c>
      <c r="H263" s="600"/>
      <c r="I263" s="585">
        <f t="shared" si="30"/>
        <v>0</v>
      </c>
      <c r="J263" s="586" t="e">
        <f t="shared" si="31"/>
        <v>#DIV/0!</v>
      </c>
      <c r="K263" s="587" t="e">
        <f t="shared" si="32"/>
        <v>#N/A</v>
      </c>
      <c r="L263" s="587">
        <f t="shared" si="33"/>
        <v>0</v>
      </c>
      <c r="M263" s="588" t="e">
        <f t="shared" si="28"/>
        <v>#N/A</v>
      </c>
      <c r="N263" s="589" t="e">
        <f t="shared" si="29"/>
        <v>#N/A</v>
      </c>
      <c r="O263" s="589">
        <f t="shared" si="34"/>
        <v>0</v>
      </c>
      <c r="P263" s="66">
        <f t="shared" si="35"/>
      </c>
    </row>
    <row r="264" spans="1:16" ht="12.75">
      <c r="A264" s="590"/>
      <c r="B264" s="592"/>
      <c r="C264" s="593"/>
      <c r="D264" s="593"/>
      <c r="E264" s="596"/>
      <c r="F264" s="596"/>
      <c r="G264" s="584" t="e">
        <f t="shared" si="27"/>
        <v>#N/A</v>
      </c>
      <c r="H264" s="600"/>
      <c r="I264" s="585">
        <f t="shared" si="30"/>
        <v>0</v>
      </c>
      <c r="J264" s="586" t="e">
        <f t="shared" si="31"/>
        <v>#DIV/0!</v>
      </c>
      <c r="K264" s="587" t="e">
        <f t="shared" si="32"/>
        <v>#N/A</v>
      </c>
      <c r="L264" s="587">
        <f t="shared" si="33"/>
        <v>0</v>
      </c>
      <c r="M264" s="588" t="e">
        <f t="shared" si="28"/>
        <v>#N/A</v>
      </c>
      <c r="N264" s="589" t="e">
        <f t="shared" si="29"/>
        <v>#N/A</v>
      </c>
      <c r="O264" s="589">
        <f t="shared" si="34"/>
        <v>0</v>
      </c>
      <c r="P264" s="66">
        <f t="shared" si="35"/>
      </c>
    </row>
    <row r="265" spans="1:16" ht="12.75">
      <c r="A265" s="590"/>
      <c r="B265" s="592"/>
      <c r="C265" s="599"/>
      <c r="D265" s="593"/>
      <c r="E265" s="596"/>
      <c r="F265" s="596"/>
      <c r="G265" s="584" t="e">
        <f t="shared" si="27"/>
        <v>#N/A</v>
      </c>
      <c r="H265" s="600"/>
      <c r="I265" s="585">
        <f t="shared" si="30"/>
        <v>0</v>
      </c>
      <c r="J265" s="586" t="e">
        <f t="shared" si="31"/>
        <v>#DIV/0!</v>
      </c>
      <c r="K265" s="587" t="e">
        <f t="shared" si="32"/>
        <v>#N/A</v>
      </c>
      <c r="L265" s="587">
        <f t="shared" si="33"/>
        <v>0</v>
      </c>
      <c r="M265" s="588" t="e">
        <f t="shared" si="28"/>
        <v>#N/A</v>
      </c>
      <c r="N265" s="589" t="e">
        <f t="shared" si="29"/>
        <v>#N/A</v>
      </c>
      <c r="O265" s="589">
        <f t="shared" si="34"/>
        <v>0</v>
      </c>
      <c r="P265" s="66">
        <f t="shared" si="35"/>
      </c>
    </row>
    <row r="266" spans="1:16" ht="12.75">
      <c r="A266" s="590"/>
      <c r="B266" s="592"/>
      <c r="C266" s="593"/>
      <c r="D266" s="593"/>
      <c r="E266" s="596"/>
      <c r="F266" s="596"/>
      <c r="G266" s="584" t="e">
        <f t="shared" si="27"/>
        <v>#N/A</v>
      </c>
      <c r="H266" s="600"/>
      <c r="I266" s="585">
        <f t="shared" si="30"/>
        <v>0</v>
      </c>
      <c r="J266" s="586" t="e">
        <f t="shared" si="31"/>
        <v>#DIV/0!</v>
      </c>
      <c r="K266" s="587" t="e">
        <f t="shared" si="32"/>
        <v>#N/A</v>
      </c>
      <c r="L266" s="587">
        <f t="shared" si="33"/>
        <v>0</v>
      </c>
      <c r="M266" s="588" t="e">
        <f t="shared" si="28"/>
        <v>#N/A</v>
      </c>
      <c r="N266" s="589" t="e">
        <f t="shared" si="29"/>
        <v>#N/A</v>
      </c>
      <c r="O266" s="589">
        <f t="shared" si="34"/>
        <v>0</v>
      </c>
      <c r="P266" s="66">
        <f t="shared" si="35"/>
      </c>
    </row>
    <row r="267" spans="1:16" ht="12.75">
      <c r="A267" s="590"/>
      <c r="B267" s="592"/>
      <c r="C267" s="593"/>
      <c r="D267" s="593"/>
      <c r="E267" s="596"/>
      <c r="F267" s="596"/>
      <c r="G267" s="584" t="e">
        <f t="shared" si="27"/>
        <v>#N/A</v>
      </c>
      <c r="H267" s="600"/>
      <c r="I267" s="585">
        <f t="shared" si="30"/>
        <v>0</v>
      </c>
      <c r="J267" s="586" t="e">
        <f t="shared" si="31"/>
        <v>#DIV/0!</v>
      </c>
      <c r="K267" s="587" t="e">
        <f t="shared" si="32"/>
        <v>#N/A</v>
      </c>
      <c r="L267" s="587">
        <f t="shared" si="33"/>
        <v>0</v>
      </c>
      <c r="M267" s="588" t="e">
        <f t="shared" si="28"/>
        <v>#N/A</v>
      </c>
      <c r="N267" s="589" t="e">
        <f t="shared" si="29"/>
        <v>#N/A</v>
      </c>
      <c r="O267" s="589">
        <f t="shared" si="34"/>
        <v>0</v>
      </c>
      <c r="P267" s="66">
        <f t="shared" si="35"/>
      </c>
    </row>
    <row r="268" spans="1:16" ht="12.75">
      <c r="A268" s="590"/>
      <c r="B268" s="592"/>
      <c r="C268" s="593"/>
      <c r="D268" s="593"/>
      <c r="E268" s="596"/>
      <c r="F268" s="596"/>
      <c r="G268" s="584" t="e">
        <f t="shared" si="27"/>
        <v>#N/A</v>
      </c>
      <c r="H268" s="600"/>
      <c r="I268" s="585">
        <f t="shared" si="30"/>
        <v>0</v>
      </c>
      <c r="J268" s="586" t="e">
        <f t="shared" si="31"/>
        <v>#DIV/0!</v>
      </c>
      <c r="K268" s="587" t="e">
        <f t="shared" si="32"/>
        <v>#N/A</v>
      </c>
      <c r="L268" s="587">
        <f t="shared" si="33"/>
        <v>0</v>
      </c>
      <c r="M268" s="588" t="e">
        <f t="shared" si="28"/>
        <v>#N/A</v>
      </c>
      <c r="N268" s="589" t="e">
        <f t="shared" si="29"/>
        <v>#N/A</v>
      </c>
      <c r="O268" s="589">
        <f t="shared" si="34"/>
        <v>0</v>
      </c>
      <c r="P268" s="66">
        <f t="shared" si="35"/>
      </c>
    </row>
    <row r="269" spans="1:16" ht="12.75">
      <c r="A269" s="590"/>
      <c r="B269" s="592"/>
      <c r="C269" s="593"/>
      <c r="D269" s="593"/>
      <c r="E269" s="596"/>
      <c r="F269" s="596"/>
      <c r="G269" s="584" t="e">
        <f t="shared" si="27"/>
        <v>#N/A</v>
      </c>
      <c r="H269" s="600"/>
      <c r="I269" s="585">
        <f t="shared" si="30"/>
        <v>0</v>
      </c>
      <c r="J269" s="586" t="e">
        <f t="shared" si="31"/>
        <v>#DIV/0!</v>
      </c>
      <c r="K269" s="587" t="e">
        <f t="shared" si="32"/>
        <v>#N/A</v>
      </c>
      <c r="L269" s="587">
        <f t="shared" si="33"/>
        <v>0</v>
      </c>
      <c r="M269" s="588" t="e">
        <f t="shared" si="28"/>
        <v>#N/A</v>
      </c>
      <c r="N269" s="589" t="e">
        <f t="shared" si="29"/>
        <v>#N/A</v>
      </c>
      <c r="O269" s="589">
        <f t="shared" si="34"/>
        <v>0</v>
      </c>
      <c r="P269" s="66">
        <f t="shared" si="35"/>
      </c>
    </row>
    <row r="270" spans="1:16" ht="12.75">
      <c r="A270" s="462"/>
      <c r="B270" s="592"/>
      <c r="C270" s="593"/>
      <c r="D270" s="593"/>
      <c r="E270" s="596"/>
      <c r="F270" s="596"/>
      <c r="G270" s="584" t="e">
        <f t="shared" si="27"/>
        <v>#N/A</v>
      </c>
      <c r="H270" s="600"/>
      <c r="I270" s="585">
        <f t="shared" si="30"/>
        <v>0</v>
      </c>
      <c r="J270" s="586" t="e">
        <f t="shared" si="31"/>
        <v>#DIV/0!</v>
      </c>
      <c r="K270" s="587" t="e">
        <f t="shared" si="32"/>
        <v>#N/A</v>
      </c>
      <c r="L270" s="587">
        <f t="shared" si="33"/>
        <v>0</v>
      </c>
      <c r="M270" s="588" t="e">
        <f t="shared" si="28"/>
        <v>#N/A</v>
      </c>
      <c r="N270" s="589" t="e">
        <f t="shared" si="29"/>
        <v>#N/A</v>
      </c>
      <c r="O270" s="589">
        <f t="shared" si="34"/>
        <v>0</v>
      </c>
      <c r="P270" s="66">
        <f t="shared" si="35"/>
      </c>
    </row>
    <row r="271" spans="1:16" ht="12.75">
      <c r="A271" s="591"/>
      <c r="B271" s="592"/>
      <c r="C271" s="593"/>
      <c r="D271" s="593"/>
      <c r="E271" s="596"/>
      <c r="F271" s="596"/>
      <c r="G271" s="584" t="e">
        <f t="shared" si="27"/>
        <v>#N/A</v>
      </c>
      <c r="H271" s="600"/>
      <c r="I271" s="585">
        <f t="shared" si="30"/>
        <v>0</v>
      </c>
      <c r="J271" s="586" t="e">
        <f t="shared" si="31"/>
        <v>#DIV/0!</v>
      </c>
      <c r="K271" s="587" t="e">
        <f t="shared" si="32"/>
        <v>#N/A</v>
      </c>
      <c r="L271" s="587">
        <f t="shared" si="33"/>
        <v>0</v>
      </c>
      <c r="M271" s="588" t="e">
        <f t="shared" si="28"/>
        <v>#N/A</v>
      </c>
      <c r="N271" s="589" t="e">
        <f t="shared" si="29"/>
        <v>#N/A</v>
      </c>
      <c r="O271" s="589">
        <f t="shared" si="34"/>
        <v>0</v>
      </c>
      <c r="P271" s="66">
        <f t="shared" si="35"/>
      </c>
    </row>
    <row r="272" spans="1:16" ht="12.75">
      <c r="A272" s="591"/>
      <c r="B272" s="592"/>
      <c r="C272" s="593"/>
      <c r="D272" s="593"/>
      <c r="E272" s="596"/>
      <c r="F272" s="596"/>
      <c r="G272" s="584" t="e">
        <f t="shared" si="27"/>
        <v>#N/A</v>
      </c>
      <c r="H272" s="600"/>
      <c r="I272" s="585">
        <f t="shared" si="30"/>
        <v>0</v>
      </c>
      <c r="J272" s="586" t="e">
        <f t="shared" si="31"/>
        <v>#DIV/0!</v>
      </c>
      <c r="K272" s="587" t="e">
        <f t="shared" si="32"/>
        <v>#N/A</v>
      </c>
      <c r="L272" s="587">
        <f t="shared" si="33"/>
        <v>0</v>
      </c>
      <c r="M272" s="588" t="e">
        <f t="shared" si="28"/>
        <v>#N/A</v>
      </c>
      <c r="N272" s="589" t="e">
        <f t="shared" si="29"/>
        <v>#N/A</v>
      </c>
      <c r="O272" s="589">
        <f t="shared" si="34"/>
        <v>0</v>
      </c>
      <c r="P272" s="66">
        <f t="shared" si="35"/>
      </c>
    </row>
    <row r="273" spans="1:16" ht="12.75">
      <c r="A273" s="462"/>
      <c r="B273" s="592"/>
      <c r="C273" s="593"/>
      <c r="D273" s="593"/>
      <c r="E273" s="596"/>
      <c r="F273" s="596"/>
      <c r="G273" s="584" t="e">
        <f t="shared" si="27"/>
        <v>#N/A</v>
      </c>
      <c r="H273" s="600"/>
      <c r="I273" s="585">
        <f t="shared" si="30"/>
        <v>0</v>
      </c>
      <c r="J273" s="586" t="e">
        <f t="shared" si="31"/>
        <v>#DIV/0!</v>
      </c>
      <c r="K273" s="587" t="e">
        <f t="shared" si="32"/>
        <v>#N/A</v>
      </c>
      <c r="L273" s="587">
        <f t="shared" si="33"/>
        <v>0</v>
      </c>
      <c r="M273" s="588" t="e">
        <f t="shared" si="28"/>
        <v>#N/A</v>
      </c>
      <c r="N273" s="589" t="e">
        <f t="shared" si="29"/>
        <v>#N/A</v>
      </c>
      <c r="O273" s="589">
        <f t="shared" si="34"/>
        <v>0</v>
      </c>
      <c r="P273" s="66">
        <f t="shared" si="35"/>
      </c>
    </row>
    <row r="274" spans="1:16" ht="12.75">
      <c r="A274" s="462"/>
      <c r="B274" s="592"/>
      <c r="C274" s="593"/>
      <c r="D274" s="593"/>
      <c r="E274" s="596"/>
      <c r="F274" s="596"/>
      <c r="G274" s="584" t="e">
        <f t="shared" si="27"/>
        <v>#N/A</v>
      </c>
      <c r="H274" s="600"/>
      <c r="I274" s="585">
        <f t="shared" si="30"/>
        <v>0</v>
      </c>
      <c r="J274" s="586" t="e">
        <f t="shared" si="31"/>
        <v>#DIV/0!</v>
      </c>
      <c r="K274" s="587" t="e">
        <f t="shared" si="32"/>
        <v>#N/A</v>
      </c>
      <c r="L274" s="587">
        <f t="shared" si="33"/>
        <v>0</v>
      </c>
      <c r="M274" s="588" t="e">
        <f t="shared" si="28"/>
        <v>#N/A</v>
      </c>
      <c r="N274" s="589" t="e">
        <f t="shared" si="29"/>
        <v>#N/A</v>
      </c>
      <c r="O274" s="589">
        <f t="shared" si="34"/>
        <v>0</v>
      </c>
      <c r="P274" s="66">
        <f t="shared" si="35"/>
      </c>
    </row>
    <row r="275" spans="1:16" ht="12.75">
      <c r="A275" s="590"/>
      <c r="B275" s="592"/>
      <c r="C275" s="593"/>
      <c r="D275" s="593"/>
      <c r="E275" s="596"/>
      <c r="F275" s="596"/>
      <c r="G275" s="584" t="e">
        <f t="shared" si="27"/>
        <v>#N/A</v>
      </c>
      <c r="H275" s="600"/>
      <c r="I275" s="585">
        <f t="shared" si="30"/>
        <v>0</v>
      </c>
      <c r="J275" s="586" t="e">
        <f t="shared" si="31"/>
        <v>#DIV/0!</v>
      </c>
      <c r="K275" s="587" t="e">
        <f t="shared" si="32"/>
        <v>#N/A</v>
      </c>
      <c r="L275" s="587">
        <f t="shared" si="33"/>
        <v>0</v>
      </c>
      <c r="M275" s="588" t="e">
        <f t="shared" si="28"/>
        <v>#N/A</v>
      </c>
      <c r="N275" s="589" t="e">
        <f t="shared" si="29"/>
        <v>#N/A</v>
      </c>
      <c r="O275" s="589">
        <f t="shared" si="34"/>
        <v>0</v>
      </c>
      <c r="P275" s="66">
        <f t="shared" si="35"/>
      </c>
    </row>
    <row r="276" spans="1:16" ht="12.75">
      <c r="A276" s="590"/>
      <c r="B276" s="592"/>
      <c r="C276" s="599"/>
      <c r="D276" s="593"/>
      <c r="E276" s="596"/>
      <c r="F276" s="596"/>
      <c r="G276" s="584" t="e">
        <f t="shared" si="27"/>
        <v>#N/A</v>
      </c>
      <c r="H276" s="600"/>
      <c r="I276" s="585">
        <f t="shared" si="30"/>
        <v>0</v>
      </c>
      <c r="J276" s="586" t="e">
        <f t="shared" si="31"/>
        <v>#DIV/0!</v>
      </c>
      <c r="K276" s="587" t="e">
        <f t="shared" si="32"/>
        <v>#N/A</v>
      </c>
      <c r="L276" s="587">
        <f t="shared" si="33"/>
        <v>0</v>
      </c>
      <c r="M276" s="588" t="e">
        <f t="shared" si="28"/>
        <v>#N/A</v>
      </c>
      <c r="N276" s="589" t="e">
        <f t="shared" si="29"/>
        <v>#N/A</v>
      </c>
      <c r="O276" s="589">
        <f t="shared" si="34"/>
        <v>0</v>
      </c>
      <c r="P276" s="66">
        <f t="shared" si="35"/>
      </c>
    </row>
    <row r="277" spans="1:16" ht="12.75">
      <c r="A277" s="590"/>
      <c r="B277" s="592"/>
      <c r="C277" s="593"/>
      <c r="D277" s="593"/>
      <c r="E277" s="596"/>
      <c r="F277" s="596"/>
      <c r="G277" s="584" t="e">
        <f t="shared" si="27"/>
        <v>#N/A</v>
      </c>
      <c r="H277" s="600"/>
      <c r="I277" s="585">
        <f t="shared" si="30"/>
        <v>0</v>
      </c>
      <c r="J277" s="586" t="e">
        <f t="shared" si="31"/>
        <v>#DIV/0!</v>
      </c>
      <c r="K277" s="587" t="e">
        <f t="shared" si="32"/>
        <v>#N/A</v>
      </c>
      <c r="L277" s="587">
        <f t="shared" si="33"/>
        <v>0</v>
      </c>
      <c r="M277" s="588" t="e">
        <f t="shared" si="28"/>
        <v>#N/A</v>
      </c>
      <c r="N277" s="589" t="e">
        <f t="shared" si="29"/>
        <v>#N/A</v>
      </c>
      <c r="O277" s="589">
        <f t="shared" si="34"/>
        <v>0</v>
      </c>
      <c r="P277" s="66">
        <f t="shared" si="35"/>
      </c>
    </row>
    <row r="278" spans="1:16" ht="12.75">
      <c r="A278" s="590"/>
      <c r="B278" s="592"/>
      <c r="C278" s="593"/>
      <c r="D278" s="593"/>
      <c r="E278" s="596"/>
      <c r="F278" s="596"/>
      <c r="G278" s="584" t="e">
        <f t="shared" si="27"/>
        <v>#N/A</v>
      </c>
      <c r="H278" s="600"/>
      <c r="I278" s="585">
        <f t="shared" si="30"/>
        <v>0</v>
      </c>
      <c r="J278" s="586" t="e">
        <f t="shared" si="31"/>
        <v>#DIV/0!</v>
      </c>
      <c r="K278" s="587" t="e">
        <f t="shared" si="32"/>
        <v>#N/A</v>
      </c>
      <c r="L278" s="587">
        <f t="shared" si="33"/>
        <v>0</v>
      </c>
      <c r="M278" s="588" t="e">
        <f t="shared" si="28"/>
        <v>#N/A</v>
      </c>
      <c r="N278" s="589" t="e">
        <f t="shared" si="29"/>
        <v>#N/A</v>
      </c>
      <c r="O278" s="589">
        <f t="shared" si="34"/>
        <v>0</v>
      </c>
      <c r="P278" s="66">
        <f t="shared" si="35"/>
      </c>
    </row>
    <row r="279" spans="1:16" ht="12.75">
      <c r="A279" s="590"/>
      <c r="B279" s="592"/>
      <c r="C279" s="593"/>
      <c r="D279" s="593"/>
      <c r="E279" s="596"/>
      <c r="F279" s="596"/>
      <c r="G279" s="584" t="e">
        <f t="shared" si="27"/>
        <v>#N/A</v>
      </c>
      <c r="H279" s="600"/>
      <c r="I279" s="585">
        <f t="shared" si="30"/>
        <v>0</v>
      </c>
      <c r="J279" s="586" t="e">
        <f t="shared" si="31"/>
        <v>#DIV/0!</v>
      </c>
      <c r="K279" s="587" t="e">
        <f t="shared" si="32"/>
        <v>#N/A</v>
      </c>
      <c r="L279" s="587">
        <f t="shared" si="33"/>
        <v>0</v>
      </c>
      <c r="M279" s="588" t="e">
        <f t="shared" si="28"/>
        <v>#N/A</v>
      </c>
      <c r="N279" s="589" t="e">
        <f t="shared" si="29"/>
        <v>#N/A</v>
      </c>
      <c r="O279" s="589">
        <f t="shared" si="34"/>
        <v>0</v>
      </c>
      <c r="P279" s="66">
        <f t="shared" si="35"/>
      </c>
    </row>
    <row r="280" spans="1:16" ht="12.75">
      <c r="A280" s="590"/>
      <c r="B280" s="592"/>
      <c r="C280" s="593"/>
      <c r="D280" s="593"/>
      <c r="E280" s="596"/>
      <c r="F280" s="596"/>
      <c r="G280" s="584" t="e">
        <f t="shared" si="27"/>
        <v>#N/A</v>
      </c>
      <c r="H280" s="600"/>
      <c r="I280" s="585">
        <f t="shared" si="30"/>
        <v>0</v>
      </c>
      <c r="J280" s="586" t="e">
        <f t="shared" si="31"/>
        <v>#DIV/0!</v>
      </c>
      <c r="K280" s="587" t="e">
        <f t="shared" si="32"/>
        <v>#N/A</v>
      </c>
      <c r="L280" s="587">
        <f t="shared" si="33"/>
        <v>0</v>
      </c>
      <c r="M280" s="588" t="e">
        <f t="shared" si="28"/>
        <v>#N/A</v>
      </c>
      <c r="N280" s="589" t="e">
        <f t="shared" si="29"/>
        <v>#N/A</v>
      </c>
      <c r="O280" s="589">
        <f t="shared" si="34"/>
        <v>0</v>
      </c>
      <c r="P280" s="66">
        <f t="shared" si="35"/>
      </c>
    </row>
    <row r="281" spans="1:16" ht="12.75">
      <c r="A281" s="590"/>
      <c r="B281" s="592"/>
      <c r="C281" s="593"/>
      <c r="D281" s="593"/>
      <c r="E281" s="596"/>
      <c r="F281" s="596"/>
      <c r="G281" s="584" t="e">
        <f t="shared" si="27"/>
        <v>#N/A</v>
      </c>
      <c r="H281" s="600"/>
      <c r="I281" s="585">
        <f t="shared" si="30"/>
        <v>0</v>
      </c>
      <c r="J281" s="586" t="e">
        <f t="shared" si="31"/>
        <v>#DIV/0!</v>
      </c>
      <c r="K281" s="587" t="e">
        <f t="shared" si="32"/>
        <v>#N/A</v>
      </c>
      <c r="L281" s="587">
        <f t="shared" si="33"/>
        <v>0</v>
      </c>
      <c r="M281" s="588" t="e">
        <f t="shared" si="28"/>
        <v>#N/A</v>
      </c>
      <c r="N281" s="589" t="e">
        <f t="shared" si="29"/>
        <v>#N/A</v>
      </c>
      <c r="O281" s="589">
        <f t="shared" si="34"/>
        <v>0</v>
      </c>
      <c r="P281" s="66">
        <f t="shared" si="35"/>
      </c>
    </row>
    <row r="282" spans="1:16" ht="12.75">
      <c r="A282" s="590"/>
      <c r="B282" s="592"/>
      <c r="C282" s="599"/>
      <c r="D282" s="593"/>
      <c r="E282" s="596"/>
      <c r="F282" s="596"/>
      <c r="G282" s="584" t="e">
        <f t="shared" si="27"/>
        <v>#N/A</v>
      </c>
      <c r="H282" s="600"/>
      <c r="I282" s="585">
        <f t="shared" si="30"/>
        <v>0</v>
      </c>
      <c r="J282" s="586" t="e">
        <f t="shared" si="31"/>
        <v>#DIV/0!</v>
      </c>
      <c r="K282" s="587" t="e">
        <f t="shared" si="32"/>
        <v>#N/A</v>
      </c>
      <c r="L282" s="587">
        <f t="shared" si="33"/>
        <v>0</v>
      </c>
      <c r="M282" s="588" t="e">
        <f t="shared" si="28"/>
        <v>#N/A</v>
      </c>
      <c r="N282" s="589" t="e">
        <f t="shared" si="29"/>
        <v>#N/A</v>
      </c>
      <c r="O282" s="589">
        <f t="shared" si="34"/>
        <v>0</v>
      </c>
      <c r="P282" s="66">
        <f t="shared" si="35"/>
      </c>
    </row>
    <row r="283" spans="1:16" ht="12.75">
      <c r="A283" s="590"/>
      <c r="B283" s="592"/>
      <c r="C283" s="593"/>
      <c r="D283" s="593"/>
      <c r="E283" s="596"/>
      <c r="F283" s="596"/>
      <c r="G283" s="584" t="e">
        <f t="shared" si="27"/>
        <v>#N/A</v>
      </c>
      <c r="H283" s="600"/>
      <c r="I283" s="585">
        <f t="shared" si="30"/>
        <v>0</v>
      </c>
      <c r="J283" s="586" t="e">
        <f t="shared" si="31"/>
        <v>#DIV/0!</v>
      </c>
      <c r="K283" s="587" t="e">
        <f t="shared" si="32"/>
        <v>#N/A</v>
      </c>
      <c r="L283" s="587">
        <f t="shared" si="33"/>
        <v>0</v>
      </c>
      <c r="M283" s="588" t="e">
        <f t="shared" si="28"/>
        <v>#N/A</v>
      </c>
      <c r="N283" s="589" t="e">
        <f t="shared" si="29"/>
        <v>#N/A</v>
      </c>
      <c r="O283" s="589">
        <f t="shared" si="34"/>
        <v>0</v>
      </c>
      <c r="P283" s="66">
        <f t="shared" si="35"/>
      </c>
    </row>
    <row r="284" spans="1:16" ht="12.75">
      <c r="A284" s="590"/>
      <c r="B284" s="592"/>
      <c r="C284" s="593"/>
      <c r="D284" s="593"/>
      <c r="E284" s="596"/>
      <c r="F284" s="596"/>
      <c r="G284" s="584" t="e">
        <f aca="true" t="shared" si="36" ref="G284:G347">LOOKUP(F284,$I$2:$I$15,$J$2:$J$15)</f>
        <v>#N/A</v>
      </c>
      <c r="H284" s="600"/>
      <c r="I284" s="585">
        <f t="shared" si="30"/>
        <v>0</v>
      </c>
      <c r="J284" s="586" t="e">
        <f t="shared" si="31"/>
        <v>#DIV/0!</v>
      </c>
      <c r="K284" s="587" t="e">
        <f t="shared" si="32"/>
        <v>#N/A</v>
      </c>
      <c r="L284" s="587">
        <f t="shared" si="33"/>
        <v>0</v>
      </c>
      <c r="M284" s="588" t="e">
        <f aca="true" t="shared" si="37" ref="M284:M347">IF(D284="Exit Signs","NA",E284*LOOKUP(F284,$I$2:$I$24,$K$2:$K$24)/B284)</f>
        <v>#N/A</v>
      </c>
      <c r="N284" s="589" t="e">
        <f aca="true" t="shared" si="38" ref="N284:N347">LOOKUP(D284,$T$2:$T$13,$V$2:$V$13)</f>
        <v>#N/A</v>
      </c>
      <c r="O284" s="589">
        <f t="shared" si="34"/>
        <v>0</v>
      </c>
      <c r="P284" s="66">
        <f t="shared" si="35"/>
      </c>
    </row>
    <row r="285" spans="1:16" ht="12.75">
      <c r="A285" s="590"/>
      <c r="B285" s="592"/>
      <c r="C285" s="593"/>
      <c r="D285" s="593"/>
      <c r="E285" s="596"/>
      <c r="F285" s="596"/>
      <c r="G285" s="584" t="e">
        <f t="shared" si="36"/>
        <v>#N/A</v>
      </c>
      <c r="H285" s="600"/>
      <c r="I285" s="585">
        <f aca="true" t="shared" si="39" ref="I285:I348">IF(E285&gt;0,E285*G285*H285,0)</f>
        <v>0</v>
      </c>
      <c r="J285" s="586" t="e">
        <f aca="true" t="shared" si="40" ref="J285:J348">IF(D285="Exit Signs","convert to kW",I285/(B285*H285))</f>
        <v>#DIV/0!</v>
      </c>
      <c r="K285" s="587" t="e">
        <f aca="true" t="shared" si="41" ref="K285:K348">IF($C$15="Space-By-Space (9.6.1)",LOOKUP(D285,$T$2:$T$13,$U$2:$U$13),0.7)</f>
        <v>#N/A</v>
      </c>
      <c r="L285" s="587">
        <f aca="true" t="shared" si="42" ref="L285:L348">IF(D285="Exit Signs",5*E285,IF(B285&gt;0,K285*B285,0))</f>
        <v>0</v>
      </c>
      <c r="M285" s="588" t="e">
        <f t="shared" si="37"/>
        <v>#N/A</v>
      </c>
      <c r="N285" s="589" t="e">
        <f t="shared" si="38"/>
        <v>#N/A</v>
      </c>
      <c r="O285" s="589">
        <f aca="true" t="shared" si="43" ref="O285:O348">B285*H285</f>
        <v>0</v>
      </c>
      <c r="P285" s="66">
        <f aca="true" t="shared" si="44" ref="P285:P348">IF(E285&gt;0,IF(M285&lt;N285,"Insufficient lighting to meet IESNA footcandle recommendations.",""),"")</f>
      </c>
    </row>
    <row r="286" spans="1:16" ht="12.75">
      <c r="A286" s="590"/>
      <c r="B286" s="592"/>
      <c r="C286" s="593"/>
      <c r="D286" s="593"/>
      <c r="E286" s="596"/>
      <c r="F286" s="596"/>
      <c r="G286" s="584" t="e">
        <f t="shared" si="36"/>
        <v>#N/A</v>
      </c>
      <c r="H286" s="600"/>
      <c r="I286" s="585">
        <f t="shared" si="39"/>
        <v>0</v>
      </c>
      <c r="J286" s="586" t="e">
        <f t="shared" si="40"/>
        <v>#DIV/0!</v>
      </c>
      <c r="K286" s="587" t="e">
        <f t="shared" si="41"/>
        <v>#N/A</v>
      </c>
      <c r="L286" s="587">
        <f t="shared" si="42"/>
        <v>0</v>
      </c>
      <c r="M286" s="588" t="e">
        <f t="shared" si="37"/>
        <v>#N/A</v>
      </c>
      <c r="N286" s="589" t="e">
        <f t="shared" si="38"/>
        <v>#N/A</v>
      </c>
      <c r="O286" s="589">
        <f t="shared" si="43"/>
        <v>0</v>
      </c>
      <c r="P286" s="66">
        <f t="shared" si="44"/>
      </c>
    </row>
    <row r="287" spans="1:16" ht="12.75">
      <c r="A287" s="590"/>
      <c r="B287" s="592"/>
      <c r="C287" s="593"/>
      <c r="D287" s="593"/>
      <c r="E287" s="596"/>
      <c r="F287" s="596"/>
      <c r="G287" s="584" t="e">
        <f t="shared" si="36"/>
        <v>#N/A</v>
      </c>
      <c r="H287" s="600"/>
      <c r="I287" s="585">
        <f t="shared" si="39"/>
        <v>0</v>
      </c>
      <c r="J287" s="586" t="e">
        <f t="shared" si="40"/>
        <v>#DIV/0!</v>
      </c>
      <c r="K287" s="587" t="e">
        <f t="shared" si="41"/>
        <v>#N/A</v>
      </c>
      <c r="L287" s="587">
        <f t="shared" si="42"/>
        <v>0</v>
      </c>
      <c r="M287" s="588" t="e">
        <f t="shared" si="37"/>
        <v>#N/A</v>
      </c>
      <c r="N287" s="589" t="e">
        <f t="shared" si="38"/>
        <v>#N/A</v>
      </c>
      <c r="O287" s="589">
        <f t="shared" si="43"/>
        <v>0</v>
      </c>
      <c r="P287" s="66">
        <f t="shared" si="44"/>
      </c>
    </row>
    <row r="288" spans="1:16" ht="12.75">
      <c r="A288" s="590"/>
      <c r="B288" s="592"/>
      <c r="C288" s="599"/>
      <c r="D288" s="593"/>
      <c r="E288" s="596"/>
      <c r="F288" s="596"/>
      <c r="G288" s="584" t="e">
        <f t="shared" si="36"/>
        <v>#N/A</v>
      </c>
      <c r="H288" s="600"/>
      <c r="I288" s="585">
        <f t="shared" si="39"/>
        <v>0</v>
      </c>
      <c r="J288" s="586" t="e">
        <f t="shared" si="40"/>
        <v>#DIV/0!</v>
      </c>
      <c r="K288" s="587" t="e">
        <f t="shared" si="41"/>
        <v>#N/A</v>
      </c>
      <c r="L288" s="587">
        <f t="shared" si="42"/>
        <v>0</v>
      </c>
      <c r="M288" s="588" t="e">
        <f t="shared" si="37"/>
        <v>#N/A</v>
      </c>
      <c r="N288" s="589" t="e">
        <f t="shared" si="38"/>
        <v>#N/A</v>
      </c>
      <c r="O288" s="589">
        <f t="shared" si="43"/>
        <v>0</v>
      </c>
      <c r="P288" s="66">
        <f t="shared" si="44"/>
      </c>
    </row>
    <row r="289" spans="1:16" ht="12.75">
      <c r="A289" s="590"/>
      <c r="B289" s="592"/>
      <c r="C289" s="593"/>
      <c r="D289" s="593"/>
      <c r="E289" s="596"/>
      <c r="F289" s="596"/>
      <c r="G289" s="584" t="e">
        <f t="shared" si="36"/>
        <v>#N/A</v>
      </c>
      <c r="H289" s="600"/>
      <c r="I289" s="585">
        <f t="shared" si="39"/>
        <v>0</v>
      </c>
      <c r="J289" s="586" t="e">
        <f t="shared" si="40"/>
        <v>#DIV/0!</v>
      </c>
      <c r="K289" s="587" t="e">
        <f t="shared" si="41"/>
        <v>#N/A</v>
      </c>
      <c r="L289" s="587">
        <f t="shared" si="42"/>
        <v>0</v>
      </c>
      <c r="M289" s="588" t="e">
        <f t="shared" si="37"/>
        <v>#N/A</v>
      </c>
      <c r="N289" s="589" t="e">
        <f t="shared" si="38"/>
        <v>#N/A</v>
      </c>
      <c r="O289" s="589">
        <f t="shared" si="43"/>
        <v>0</v>
      </c>
      <c r="P289" s="66">
        <f t="shared" si="44"/>
      </c>
    </row>
    <row r="290" spans="1:16" ht="12.75">
      <c r="A290" s="590"/>
      <c r="B290" s="592"/>
      <c r="C290" s="593"/>
      <c r="D290" s="593"/>
      <c r="E290" s="596"/>
      <c r="F290" s="596"/>
      <c r="G290" s="584" t="e">
        <f t="shared" si="36"/>
        <v>#N/A</v>
      </c>
      <c r="H290" s="600"/>
      <c r="I290" s="585">
        <f t="shared" si="39"/>
        <v>0</v>
      </c>
      <c r="J290" s="586" t="e">
        <f t="shared" si="40"/>
        <v>#DIV/0!</v>
      </c>
      <c r="K290" s="587" t="e">
        <f t="shared" si="41"/>
        <v>#N/A</v>
      </c>
      <c r="L290" s="587">
        <f t="shared" si="42"/>
        <v>0</v>
      </c>
      <c r="M290" s="588" t="e">
        <f t="shared" si="37"/>
        <v>#N/A</v>
      </c>
      <c r="N290" s="589" t="e">
        <f t="shared" si="38"/>
        <v>#N/A</v>
      </c>
      <c r="O290" s="589">
        <f t="shared" si="43"/>
        <v>0</v>
      </c>
      <c r="P290" s="66">
        <f t="shared" si="44"/>
      </c>
    </row>
    <row r="291" spans="1:16" ht="12.75">
      <c r="A291" s="590"/>
      <c r="B291" s="592"/>
      <c r="C291" s="593"/>
      <c r="D291" s="593"/>
      <c r="E291" s="596"/>
      <c r="F291" s="596"/>
      <c r="G291" s="584" t="e">
        <f t="shared" si="36"/>
        <v>#N/A</v>
      </c>
      <c r="H291" s="600"/>
      <c r="I291" s="585">
        <f t="shared" si="39"/>
        <v>0</v>
      </c>
      <c r="J291" s="586" t="e">
        <f t="shared" si="40"/>
        <v>#DIV/0!</v>
      </c>
      <c r="K291" s="587" t="e">
        <f t="shared" si="41"/>
        <v>#N/A</v>
      </c>
      <c r="L291" s="587">
        <f t="shared" si="42"/>
        <v>0</v>
      </c>
      <c r="M291" s="588" t="e">
        <f t="shared" si="37"/>
        <v>#N/A</v>
      </c>
      <c r="N291" s="589" t="e">
        <f t="shared" si="38"/>
        <v>#N/A</v>
      </c>
      <c r="O291" s="589">
        <f t="shared" si="43"/>
        <v>0</v>
      </c>
      <c r="P291" s="66">
        <f t="shared" si="44"/>
      </c>
    </row>
    <row r="292" spans="1:16" ht="12.75">
      <c r="A292" s="590"/>
      <c r="B292" s="592"/>
      <c r="C292" s="593"/>
      <c r="D292" s="593"/>
      <c r="E292" s="596"/>
      <c r="F292" s="596"/>
      <c r="G292" s="584" t="e">
        <f t="shared" si="36"/>
        <v>#N/A</v>
      </c>
      <c r="H292" s="600"/>
      <c r="I292" s="585">
        <f t="shared" si="39"/>
        <v>0</v>
      </c>
      <c r="J292" s="586" t="e">
        <f t="shared" si="40"/>
        <v>#DIV/0!</v>
      </c>
      <c r="K292" s="587" t="e">
        <f t="shared" si="41"/>
        <v>#N/A</v>
      </c>
      <c r="L292" s="587">
        <f t="shared" si="42"/>
        <v>0</v>
      </c>
      <c r="M292" s="588" t="e">
        <f t="shared" si="37"/>
        <v>#N/A</v>
      </c>
      <c r="N292" s="589" t="e">
        <f t="shared" si="38"/>
        <v>#N/A</v>
      </c>
      <c r="O292" s="589">
        <f t="shared" si="43"/>
        <v>0</v>
      </c>
      <c r="P292" s="66">
        <f t="shared" si="44"/>
      </c>
    </row>
    <row r="293" spans="1:16" ht="12.75">
      <c r="A293" s="590"/>
      <c r="B293" s="592"/>
      <c r="C293" s="593"/>
      <c r="D293" s="593"/>
      <c r="E293" s="596"/>
      <c r="F293" s="596"/>
      <c r="G293" s="584" t="e">
        <f t="shared" si="36"/>
        <v>#N/A</v>
      </c>
      <c r="H293" s="600"/>
      <c r="I293" s="585">
        <f t="shared" si="39"/>
        <v>0</v>
      </c>
      <c r="J293" s="586" t="e">
        <f t="shared" si="40"/>
        <v>#DIV/0!</v>
      </c>
      <c r="K293" s="587" t="e">
        <f t="shared" si="41"/>
        <v>#N/A</v>
      </c>
      <c r="L293" s="587">
        <f t="shared" si="42"/>
        <v>0</v>
      </c>
      <c r="M293" s="588" t="e">
        <f t="shared" si="37"/>
        <v>#N/A</v>
      </c>
      <c r="N293" s="589" t="e">
        <f t="shared" si="38"/>
        <v>#N/A</v>
      </c>
      <c r="O293" s="589">
        <f t="shared" si="43"/>
        <v>0</v>
      </c>
      <c r="P293" s="66">
        <f t="shared" si="44"/>
      </c>
    </row>
    <row r="294" spans="1:16" ht="12.75">
      <c r="A294" s="590"/>
      <c r="B294" s="592"/>
      <c r="C294" s="599"/>
      <c r="D294" s="593"/>
      <c r="E294" s="596"/>
      <c r="F294" s="596"/>
      <c r="G294" s="584" t="e">
        <f t="shared" si="36"/>
        <v>#N/A</v>
      </c>
      <c r="H294" s="600"/>
      <c r="I294" s="585">
        <f t="shared" si="39"/>
        <v>0</v>
      </c>
      <c r="J294" s="586" t="e">
        <f t="shared" si="40"/>
        <v>#DIV/0!</v>
      </c>
      <c r="K294" s="587" t="e">
        <f t="shared" si="41"/>
        <v>#N/A</v>
      </c>
      <c r="L294" s="587">
        <f t="shared" si="42"/>
        <v>0</v>
      </c>
      <c r="M294" s="588" t="e">
        <f t="shared" si="37"/>
        <v>#N/A</v>
      </c>
      <c r="N294" s="589" t="e">
        <f t="shared" si="38"/>
        <v>#N/A</v>
      </c>
      <c r="O294" s="589">
        <f t="shared" si="43"/>
        <v>0</v>
      </c>
      <c r="P294" s="66">
        <f t="shared" si="44"/>
      </c>
    </row>
    <row r="295" spans="1:16" ht="12.75">
      <c r="A295" s="590"/>
      <c r="B295" s="592"/>
      <c r="C295" s="593"/>
      <c r="D295" s="593"/>
      <c r="E295" s="596"/>
      <c r="F295" s="596"/>
      <c r="G295" s="584" t="e">
        <f t="shared" si="36"/>
        <v>#N/A</v>
      </c>
      <c r="H295" s="600"/>
      <c r="I295" s="585">
        <f t="shared" si="39"/>
        <v>0</v>
      </c>
      <c r="J295" s="586" t="e">
        <f t="shared" si="40"/>
        <v>#DIV/0!</v>
      </c>
      <c r="K295" s="587" t="e">
        <f t="shared" si="41"/>
        <v>#N/A</v>
      </c>
      <c r="L295" s="587">
        <f t="shared" si="42"/>
        <v>0</v>
      </c>
      <c r="M295" s="588" t="e">
        <f t="shared" si="37"/>
        <v>#N/A</v>
      </c>
      <c r="N295" s="589" t="e">
        <f t="shared" si="38"/>
        <v>#N/A</v>
      </c>
      <c r="O295" s="589">
        <f t="shared" si="43"/>
        <v>0</v>
      </c>
      <c r="P295" s="66">
        <f t="shared" si="44"/>
      </c>
    </row>
    <row r="296" spans="1:16" ht="12.75">
      <c r="A296" s="590"/>
      <c r="B296" s="592"/>
      <c r="C296" s="593"/>
      <c r="D296" s="593"/>
      <c r="E296" s="596"/>
      <c r="F296" s="596"/>
      <c r="G296" s="584" t="e">
        <f t="shared" si="36"/>
        <v>#N/A</v>
      </c>
      <c r="H296" s="600"/>
      <c r="I296" s="585">
        <f t="shared" si="39"/>
        <v>0</v>
      </c>
      <c r="J296" s="586" t="e">
        <f t="shared" si="40"/>
        <v>#DIV/0!</v>
      </c>
      <c r="K296" s="587" t="e">
        <f t="shared" si="41"/>
        <v>#N/A</v>
      </c>
      <c r="L296" s="587">
        <f t="shared" si="42"/>
        <v>0</v>
      </c>
      <c r="M296" s="588" t="e">
        <f t="shared" si="37"/>
        <v>#N/A</v>
      </c>
      <c r="N296" s="589" t="e">
        <f t="shared" si="38"/>
        <v>#N/A</v>
      </c>
      <c r="O296" s="589">
        <f t="shared" si="43"/>
        <v>0</v>
      </c>
      <c r="P296" s="66">
        <f t="shared" si="44"/>
      </c>
    </row>
    <row r="297" spans="1:16" ht="12.75">
      <c r="A297" s="590"/>
      <c r="B297" s="592"/>
      <c r="C297" s="593"/>
      <c r="D297" s="593"/>
      <c r="E297" s="596"/>
      <c r="F297" s="596"/>
      <c r="G297" s="584" t="e">
        <f t="shared" si="36"/>
        <v>#N/A</v>
      </c>
      <c r="H297" s="600"/>
      <c r="I297" s="585">
        <f t="shared" si="39"/>
        <v>0</v>
      </c>
      <c r="J297" s="586" t="e">
        <f t="shared" si="40"/>
        <v>#DIV/0!</v>
      </c>
      <c r="K297" s="587" t="e">
        <f t="shared" si="41"/>
        <v>#N/A</v>
      </c>
      <c r="L297" s="587">
        <f t="shared" si="42"/>
        <v>0</v>
      </c>
      <c r="M297" s="588" t="e">
        <f t="shared" si="37"/>
        <v>#N/A</v>
      </c>
      <c r="N297" s="589" t="e">
        <f t="shared" si="38"/>
        <v>#N/A</v>
      </c>
      <c r="O297" s="589">
        <f t="shared" si="43"/>
        <v>0</v>
      </c>
      <c r="P297" s="66">
        <f t="shared" si="44"/>
      </c>
    </row>
    <row r="298" spans="1:16" ht="12.75">
      <c r="A298" s="590"/>
      <c r="B298" s="592"/>
      <c r="C298" s="593"/>
      <c r="D298" s="593"/>
      <c r="E298" s="596"/>
      <c r="F298" s="596"/>
      <c r="G298" s="584" t="e">
        <f t="shared" si="36"/>
        <v>#N/A</v>
      </c>
      <c r="H298" s="600"/>
      <c r="I298" s="585">
        <f t="shared" si="39"/>
        <v>0</v>
      </c>
      <c r="J298" s="586" t="e">
        <f t="shared" si="40"/>
        <v>#DIV/0!</v>
      </c>
      <c r="K298" s="587" t="e">
        <f t="shared" si="41"/>
        <v>#N/A</v>
      </c>
      <c r="L298" s="587">
        <f t="shared" si="42"/>
        <v>0</v>
      </c>
      <c r="M298" s="588" t="e">
        <f t="shared" si="37"/>
        <v>#N/A</v>
      </c>
      <c r="N298" s="589" t="e">
        <f t="shared" si="38"/>
        <v>#N/A</v>
      </c>
      <c r="O298" s="589">
        <f t="shared" si="43"/>
        <v>0</v>
      </c>
      <c r="P298" s="66">
        <f t="shared" si="44"/>
      </c>
    </row>
    <row r="299" spans="1:16" ht="12.75">
      <c r="A299" s="590"/>
      <c r="B299" s="592"/>
      <c r="C299" s="593"/>
      <c r="D299" s="593"/>
      <c r="E299" s="596"/>
      <c r="F299" s="596"/>
      <c r="G299" s="584" t="e">
        <f t="shared" si="36"/>
        <v>#N/A</v>
      </c>
      <c r="H299" s="600"/>
      <c r="I299" s="585">
        <f t="shared" si="39"/>
        <v>0</v>
      </c>
      <c r="J299" s="586" t="e">
        <f t="shared" si="40"/>
        <v>#DIV/0!</v>
      </c>
      <c r="K299" s="587" t="e">
        <f t="shared" si="41"/>
        <v>#N/A</v>
      </c>
      <c r="L299" s="587">
        <f t="shared" si="42"/>
        <v>0</v>
      </c>
      <c r="M299" s="588" t="e">
        <f t="shared" si="37"/>
        <v>#N/A</v>
      </c>
      <c r="N299" s="589" t="e">
        <f t="shared" si="38"/>
        <v>#N/A</v>
      </c>
      <c r="O299" s="589">
        <f t="shared" si="43"/>
        <v>0</v>
      </c>
      <c r="P299" s="66">
        <f t="shared" si="44"/>
      </c>
    </row>
    <row r="300" spans="1:16" ht="12.75">
      <c r="A300" s="590"/>
      <c r="B300" s="592"/>
      <c r="C300" s="599"/>
      <c r="D300" s="593"/>
      <c r="E300" s="596"/>
      <c r="F300" s="596"/>
      <c r="G300" s="584" t="e">
        <f t="shared" si="36"/>
        <v>#N/A</v>
      </c>
      <c r="H300" s="600"/>
      <c r="I300" s="585">
        <f t="shared" si="39"/>
        <v>0</v>
      </c>
      <c r="J300" s="586" t="e">
        <f t="shared" si="40"/>
        <v>#DIV/0!</v>
      </c>
      <c r="K300" s="587" t="e">
        <f t="shared" si="41"/>
        <v>#N/A</v>
      </c>
      <c r="L300" s="587">
        <f t="shared" si="42"/>
        <v>0</v>
      </c>
      <c r="M300" s="588" t="e">
        <f t="shared" si="37"/>
        <v>#N/A</v>
      </c>
      <c r="N300" s="589" t="e">
        <f t="shared" si="38"/>
        <v>#N/A</v>
      </c>
      <c r="O300" s="589">
        <f t="shared" si="43"/>
        <v>0</v>
      </c>
      <c r="P300" s="66">
        <f t="shared" si="44"/>
      </c>
    </row>
    <row r="301" spans="1:16" ht="11.25" customHeight="1">
      <c r="A301" s="590"/>
      <c r="B301" s="592"/>
      <c r="C301" s="593"/>
      <c r="D301" s="593"/>
      <c r="E301" s="596"/>
      <c r="F301" s="596"/>
      <c r="G301" s="584" t="e">
        <f t="shared" si="36"/>
        <v>#N/A</v>
      </c>
      <c r="H301" s="600"/>
      <c r="I301" s="585">
        <f t="shared" si="39"/>
        <v>0</v>
      </c>
      <c r="J301" s="586" t="e">
        <f t="shared" si="40"/>
        <v>#DIV/0!</v>
      </c>
      <c r="K301" s="587" t="e">
        <f t="shared" si="41"/>
        <v>#N/A</v>
      </c>
      <c r="L301" s="587">
        <f t="shared" si="42"/>
        <v>0</v>
      </c>
      <c r="M301" s="588" t="e">
        <f t="shared" si="37"/>
        <v>#N/A</v>
      </c>
      <c r="N301" s="589" t="e">
        <f t="shared" si="38"/>
        <v>#N/A</v>
      </c>
      <c r="O301" s="589">
        <f t="shared" si="43"/>
        <v>0</v>
      </c>
      <c r="P301" s="66">
        <f t="shared" si="44"/>
      </c>
    </row>
    <row r="302" spans="1:16" ht="12.75" customHeight="1">
      <c r="A302" s="590"/>
      <c r="B302" s="592"/>
      <c r="C302" s="593"/>
      <c r="D302" s="593"/>
      <c r="E302" s="596"/>
      <c r="F302" s="596"/>
      <c r="G302" s="584" t="e">
        <f t="shared" si="36"/>
        <v>#N/A</v>
      </c>
      <c r="H302" s="600"/>
      <c r="I302" s="585">
        <f t="shared" si="39"/>
        <v>0</v>
      </c>
      <c r="J302" s="586" t="e">
        <f t="shared" si="40"/>
        <v>#DIV/0!</v>
      </c>
      <c r="K302" s="587" t="e">
        <f t="shared" si="41"/>
        <v>#N/A</v>
      </c>
      <c r="L302" s="587">
        <f t="shared" si="42"/>
        <v>0</v>
      </c>
      <c r="M302" s="588" t="e">
        <f t="shared" si="37"/>
        <v>#N/A</v>
      </c>
      <c r="N302" s="589" t="e">
        <f t="shared" si="38"/>
        <v>#N/A</v>
      </c>
      <c r="O302" s="589">
        <f t="shared" si="43"/>
        <v>0</v>
      </c>
      <c r="P302" s="66">
        <f t="shared" si="44"/>
      </c>
    </row>
    <row r="303" spans="1:16" ht="12.75" customHeight="1">
      <c r="A303" s="590"/>
      <c r="B303" s="592"/>
      <c r="C303" s="593"/>
      <c r="D303" s="593"/>
      <c r="E303" s="596"/>
      <c r="F303" s="596"/>
      <c r="G303" s="584" t="e">
        <f t="shared" si="36"/>
        <v>#N/A</v>
      </c>
      <c r="H303" s="600"/>
      <c r="I303" s="585">
        <f t="shared" si="39"/>
        <v>0</v>
      </c>
      <c r="J303" s="586" t="e">
        <f t="shared" si="40"/>
        <v>#DIV/0!</v>
      </c>
      <c r="K303" s="587" t="e">
        <f t="shared" si="41"/>
        <v>#N/A</v>
      </c>
      <c r="L303" s="587">
        <f t="shared" si="42"/>
        <v>0</v>
      </c>
      <c r="M303" s="588" t="e">
        <f t="shared" si="37"/>
        <v>#N/A</v>
      </c>
      <c r="N303" s="589" t="e">
        <f t="shared" si="38"/>
        <v>#N/A</v>
      </c>
      <c r="O303" s="589">
        <f t="shared" si="43"/>
        <v>0</v>
      </c>
      <c r="P303" s="66">
        <f t="shared" si="44"/>
      </c>
    </row>
    <row r="304" spans="1:16" ht="12.75">
      <c r="A304" s="590"/>
      <c r="B304" s="592"/>
      <c r="C304" s="593"/>
      <c r="D304" s="593"/>
      <c r="E304" s="596"/>
      <c r="F304" s="596"/>
      <c r="G304" s="584" t="e">
        <f t="shared" si="36"/>
        <v>#N/A</v>
      </c>
      <c r="H304" s="600"/>
      <c r="I304" s="585">
        <f t="shared" si="39"/>
        <v>0</v>
      </c>
      <c r="J304" s="586" t="e">
        <f t="shared" si="40"/>
        <v>#DIV/0!</v>
      </c>
      <c r="K304" s="587" t="e">
        <f t="shared" si="41"/>
        <v>#N/A</v>
      </c>
      <c r="L304" s="587">
        <f t="shared" si="42"/>
        <v>0</v>
      </c>
      <c r="M304" s="588" t="e">
        <f t="shared" si="37"/>
        <v>#N/A</v>
      </c>
      <c r="N304" s="589" t="e">
        <f t="shared" si="38"/>
        <v>#N/A</v>
      </c>
      <c r="O304" s="589">
        <f t="shared" si="43"/>
        <v>0</v>
      </c>
      <c r="P304" s="66">
        <f t="shared" si="44"/>
      </c>
    </row>
    <row r="305" spans="1:16" ht="12.75">
      <c r="A305" s="590"/>
      <c r="B305" s="592"/>
      <c r="C305" s="593"/>
      <c r="D305" s="593"/>
      <c r="E305" s="596"/>
      <c r="F305" s="596"/>
      <c r="G305" s="584" t="e">
        <f t="shared" si="36"/>
        <v>#N/A</v>
      </c>
      <c r="H305" s="600"/>
      <c r="I305" s="585">
        <f t="shared" si="39"/>
        <v>0</v>
      </c>
      <c r="J305" s="586" t="e">
        <f t="shared" si="40"/>
        <v>#DIV/0!</v>
      </c>
      <c r="K305" s="587" t="e">
        <f t="shared" si="41"/>
        <v>#N/A</v>
      </c>
      <c r="L305" s="587">
        <f t="shared" si="42"/>
        <v>0</v>
      </c>
      <c r="M305" s="588" t="e">
        <f t="shared" si="37"/>
        <v>#N/A</v>
      </c>
      <c r="N305" s="589" t="e">
        <f t="shared" si="38"/>
        <v>#N/A</v>
      </c>
      <c r="O305" s="589">
        <f t="shared" si="43"/>
        <v>0</v>
      </c>
      <c r="P305" s="66">
        <f t="shared" si="44"/>
      </c>
    </row>
    <row r="306" spans="1:16" ht="12.75">
      <c r="A306" s="590"/>
      <c r="B306" s="592"/>
      <c r="C306" s="599"/>
      <c r="D306" s="593"/>
      <c r="E306" s="596"/>
      <c r="F306" s="596"/>
      <c r="G306" s="584" t="e">
        <f t="shared" si="36"/>
        <v>#N/A</v>
      </c>
      <c r="H306" s="600"/>
      <c r="I306" s="585">
        <f t="shared" si="39"/>
        <v>0</v>
      </c>
      <c r="J306" s="586" t="e">
        <f t="shared" si="40"/>
        <v>#DIV/0!</v>
      </c>
      <c r="K306" s="587" t="e">
        <f t="shared" si="41"/>
        <v>#N/A</v>
      </c>
      <c r="L306" s="587">
        <f t="shared" si="42"/>
        <v>0</v>
      </c>
      <c r="M306" s="588" t="e">
        <f t="shared" si="37"/>
        <v>#N/A</v>
      </c>
      <c r="N306" s="589" t="e">
        <f t="shared" si="38"/>
        <v>#N/A</v>
      </c>
      <c r="O306" s="589">
        <f t="shared" si="43"/>
        <v>0</v>
      </c>
      <c r="P306" s="66">
        <f t="shared" si="44"/>
      </c>
    </row>
    <row r="307" spans="1:16" ht="11.25" customHeight="1">
      <c r="A307" s="590"/>
      <c r="B307" s="592"/>
      <c r="C307" s="593"/>
      <c r="D307" s="593"/>
      <c r="E307" s="596"/>
      <c r="F307" s="596"/>
      <c r="G307" s="584" t="e">
        <f t="shared" si="36"/>
        <v>#N/A</v>
      </c>
      <c r="H307" s="600"/>
      <c r="I307" s="585">
        <f t="shared" si="39"/>
        <v>0</v>
      </c>
      <c r="J307" s="586" t="e">
        <f t="shared" si="40"/>
        <v>#DIV/0!</v>
      </c>
      <c r="K307" s="587" t="e">
        <f t="shared" si="41"/>
        <v>#N/A</v>
      </c>
      <c r="L307" s="587">
        <f t="shared" si="42"/>
        <v>0</v>
      </c>
      <c r="M307" s="588" t="e">
        <f t="shared" si="37"/>
        <v>#N/A</v>
      </c>
      <c r="N307" s="589" t="e">
        <f t="shared" si="38"/>
        <v>#N/A</v>
      </c>
      <c r="O307" s="589">
        <f t="shared" si="43"/>
        <v>0</v>
      </c>
      <c r="P307" s="66">
        <f t="shared" si="44"/>
      </c>
    </row>
    <row r="308" spans="1:16" ht="12.75">
      <c r="A308" s="590"/>
      <c r="B308" s="592"/>
      <c r="C308" s="593"/>
      <c r="D308" s="593"/>
      <c r="E308" s="596"/>
      <c r="F308" s="596"/>
      <c r="G308" s="584" t="e">
        <f t="shared" si="36"/>
        <v>#N/A</v>
      </c>
      <c r="H308" s="600"/>
      <c r="I308" s="585">
        <f t="shared" si="39"/>
        <v>0</v>
      </c>
      <c r="J308" s="586" t="e">
        <f t="shared" si="40"/>
        <v>#DIV/0!</v>
      </c>
      <c r="K308" s="587" t="e">
        <f t="shared" si="41"/>
        <v>#N/A</v>
      </c>
      <c r="L308" s="587">
        <f t="shared" si="42"/>
        <v>0</v>
      </c>
      <c r="M308" s="588" t="e">
        <f t="shared" si="37"/>
        <v>#N/A</v>
      </c>
      <c r="N308" s="589" t="e">
        <f t="shared" si="38"/>
        <v>#N/A</v>
      </c>
      <c r="O308" s="589">
        <f t="shared" si="43"/>
        <v>0</v>
      </c>
      <c r="P308" s="66">
        <f t="shared" si="44"/>
      </c>
    </row>
    <row r="309" spans="1:16" ht="12.75">
      <c r="A309" s="590"/>
      <c r="B309" s="592"/>
      <c r="C309" s="593"/>
      <c r="D309" s="593"/>
      <c r="E309" s="596"/>
      <c r="F309" s="596"/>
      <c r="G309" s="584" t="e">
        <f t="shared" si="36"/>
        <v>#N/A</v>
      </c>
      <c r="H309" s="600"/>
      <c r="I309" s="585">
        <f t="shared" si="39"/>
        <v>0</v>
      </c>
      <c r="J309" s="586" t="e">
        <f t="shared" si="40"/>
        <v>#DIV/0!</v>
      </c>
      <c r="K309" s="587" t="e">
        <f t="shared" si="41"/>
        <v>#N/A</v>
      </c>
      <c r="L309" s="587">
        <f t="shared" si="42"/>
        <v>0</v>
      </c>
      <c r="M309" s="588" t="e">
        <f t="shared" si="37"/>
        <v>#N/A</v>
      </c>
      <c r="N309" s="589" t="e">
        <f t="shared" si="38"/>
        <v>#N/A</v>
      </c>
      <c r="O309" s="589">
        <f t="shared" si="43"/>
        <v>0</v>
      </c>
      <c r="P309" s="66">
        <f t="shared" si="44"/>
      </c>
    </row>
    <row r="310" spans="1:16" ht="12.75">
      <c r="A310" s="590"/>
      <c r="B310" s="592"/>
      <c r="C310" s="593"/>
      <c r="D310" s="593"/>
      <c r="E310" s="596"/>
      <c r="F310" s="596"/>
      <c r="G310" s="584" t="e">
        <f t="shared" si="36"/>
        <v>#N/A</v>
      </c>
      <c r="H310" s="600"/>
      <c r="I310" s="585">
        <f t="shared" si="39"/>
        <v>0</v>
      </c>
      <c r="J310" s="586" t="e">
        <f t="shared" si="40"/>
        <v>#DIV/0!</v>
      </c>
      <c r="K310" s="587" t="e">
        <f t="shared" si="41"/>
        <v>#N/A</v>
      </c>
      <c r="L310" s="587">
        <f t="shared" si="42"/>
        <v>0</v>
      </c>
      <c r="M310" s="588" t="e">
        <f t="shared" si="37"/>
        <v>#N/A</v>
      </c>
      <c r="N310" s="589" t="e">
        <f t="shared" si="38"/>
        <v>#N/A</v>
      </c>
      <c r="O310" s="589">
        <f t="shared" si="43"/>
        <v>0</v>
      </c>
      <c r="P310" s="66">
        <f t="shared" si="44"/>
      </c>
    </row>
    <row r="311" spans="1:16" ht="12.75">
      <c r="A311" s="590"/>
      <c r="B311" s="592"/>
      <c r="C311" s="593"/>
      <c r="D311" s="593"/>
      <c r="E311" s="596"/>
      <c r="F311" s="596"/>
      <c r="G311" s="584" t="e">
        <f t="shared" si="36"/>
        <v>#N/A</v>
      </c>
      <c r="H311" s="600"/>
      <c r="I311" s="585">
        <f t="shared" si="39"/>
        <v>0</v>
      </c>
      <c r="J311" s="586" t="e">
        <f t="shared" si="40"/>
        <v>#DIV/0!</v>
      </c>
      <c r="K311" s="587" t="e">
        <f t="shared" si="41"/>
        <v>#N/A</v>
      </c>
      <c r="L311" s="587">
        <f t="shared" si="42"/>
        <v>0</v>
      </c>
      <c r="M311" s="588" t="e">
        <f t="shared" si="37"/>
        <v>#N/A</v>
      </c>
      <c r="N311" s="589" t="e">
        <f t="shared" si="38"/>
        <v>#N/A</v>
      </c>
      <c r="O311" s="589">
        <f t="shared" si="43"/>
        <v>0</v>
      </c>
      <c r="P311" s="66">
        <f t="shared" si="44"/>
      </c>
    </row>
    <row r="312" spans="1:16" ht="12.75">
      <c r="A312" s="590"/>
      <c r="B312" s="592"/>
      <c r="C312" s="599"/>
      <c r="D312" s="593"/>
      <c r="E312" s="596"/>
      <c r="F312" s="596"/>
      <c r="G312" s="584" t="e">
        <f t="shared" si="36"/>
        <v>#N/A</v>
      </c>
      <c r="H312" s="600"/>
      <c r="I312" s="585">
        <f t="shared" si="39"/>
        <v>0</v>
      </c>
      <c r="J312" s="586" t="e">
        <f t="shared" si="40"/>
        <v>#DIV/0!</v>
      </c>
      <c r="K312" s="587" t="e">
        <f t="shared" si="41"/>
        <v>#N/A</v>
      </c>
      <c r="L312" s="587">
        <f t="shared" si="42"/>
        <v>0</v>
      </c>
      <c r="M312" s="588" t="e">
        <f t="shared" si="37"/>
        <v>#N/A</v>
      </c>
      <c r="N312" s="589" t="e">
        <f t="shared" si="38"/>
        <v>#N/A</v>
      </c>
      <c r="O312" s="589">
        <f t="shared" si="43"/>
        <v>0</v>
      </c>
      <c r="P312" s="66">
        <f t="shared" si="44"/>
      </c>
    </row>
    <row r="313" spans="1:16" ht="11.25" customHeight="1">
      <c r="A313" s="590"/>
      <c r="B313" s="592"/>
      <c r="C313" s="593"/>
      <c r="D313" s="593"/>
      <c r="E313" s="596"/>
      <c r="F313" s="596"/>
      <c r="G313" s="584" t="e">
        <f t="shared" si="36"/>
        <v>#N/A</v>
      </c>
      <c r="H313" s="600"/>
      <c r="I313" s="585">
        <f t="shared" si="39"/>
        <v>0</v>
      </c>
      <c r="J313" s="586" t="e">
        <f t="shared" si="40"/>
        <v>#DIV/0!</v>
      </c>
      <c r="K313" s="587" t="e">
        <f t="shared" si="41"/>
        <v>#N/A</v>
      </c>
      <c r="L313" s="587">
        <f t="shared" si="42"/>
        <v>0</v>
      </c>
      <c r="M313" s="588" t="e">
        <f t="shared" si="37"/>
        <v>#N/A</v>
      </c>
      <c r="N313" s="589" t="e">
        <f t="shared" si="38"/>
        <v>#N/A</v>
      </c>
      <c r="O313" s="589">
        <f t="shared" si="43"/>
        <v>0</v>
      </c>
      <c r="P313" s="66">
        <f t="shared" si="44"/>
      </c>
    </row>
    <row r="314" spans="1:16" ht="12.75">
      <c r="A314" s="590"/>
      <c r="B314" s="592"/>
      <c r="C314" s="593"/>
      <c r="D314" s="593"/>
      <c r="E314" s="596"/>
      <c r="F314" s="596"/>
      <c r="G314" s="584" t="e">
        <f t="shared" si="36"/>
        <v>#N/A</v>
      </c>
      <c r="H314" s="600"/>
      <c r="I314" s="585">
        <f t="shared" si="39"/>
        <v>0</v>
      </c>
      <c r="J314" s="586" t="e">
        <f t="shared" si="40"/>
        <v>#DIV/0!</v>
      </c>
      <c r="K314" s="587" t="e">
        <f t="shared" si="41"/>
        <v>#N/A</v>
      </c>
      <c r="L314" s="587">
        <f t="shared" si="42"/>
        <v>0</v>
      </c>
      <c r="M314" s="588" t="e">
        <f t="shared" si="37"/>
        <v>#N/A</v>
      </c>
      <c r="N314" s="589" t="e">
        <f t="shared" si="38"/>
        <v>#N/A</v>
      </c>
      <c r="O314" s="589">
        <f t="shared" si="43"/>
        <v>0</v>
      </c>
      <c r="P314" s="66">
        <f t="shared" si="44"/>
      </c>
    </row>
    <row r="315" spans="1:16" ht="12.75">
      <c r="A315" s="590"/>
      <c r="B315" s="592"/>
      <c r="C315" s="593"/>
      <c r="D315" s="593"/>
      <c r="E315" s="596"/>
      <c r="F315" s="596"/>
      <c r="G315" s="584" t="e">
        <f t="shared" si="36"/>
        <v>#N/A</v>
      </c>
      <c r="H315" s="600"/>
      <c r="I315" s="585">
        <f t="shared" si="39"/>
        <v>0</v>
      </c>
      <c r="J315" s="586" t="e">
        <f t="shared" si="40"/>
        <v>#DIV/0!</v>
      </c>
      <c r="K315" s="587" t="e">
        <f t="shared" si="41"/>
        <v>#N/A</v>
      </c>
      <c r="L315" s="587">
        <f t="shared" si="42"/>
        <v>0</v>
      </c>
      <c r="M315" s="588" t="e">
        <f t="shared" si="37"/>
        <v>#N/A</v>
      </c>
      <c r="N315" s="589" t="e">
        <f t="shared" si="38"/>
        <v>#N/A</v>
      </c>
      <c r="O315" s="589">
        <f t="shared" si="43"/>
        <v>0</v>
      </c>
      <c r="P315" s="66">
        <f t="shared" si="44"/>
      </c>
    </row>
    <row r="316" spans="1:16" ht="12.75">
      <c r="A316" s="590"/>
      <c r="B316" s="592"/>
      <c r="C316" s="593"/>
      <c r="D316" s="593"/>
      <c r="E316" s="596"/>
      <c r="F316" s="596"/>
      <c r="G316" s="584" t="e">
        <f t="shared" si="36"/>
        <v>#N/A</v>
      </c>
      <c r="H316" s="600"/>
      <c r="I316" s="585">
        <f t="shared" si="39"/>
        <v>0</v>
      </c>
      <c r="J316" s="586" t="e">
        <f t="shared" si="40"/>
        <v>#DIV/0!</v>
      </c>
      <c r="K316" s="587" t="e">
        <f t="shared" si="41"/>
        <v>#N/A</v>
      </c>
      <c r="L316" s="587">
        <f t="shared" si="42"/>
        <v>0</v>
      </c>
      <c r="M316" s="588" t="e">
        <f t="shared" si="37"/>
        <v>#N/A</v>
      </c>
      <c r="N316" s="589" t="e">
        <f t="shared" si="38"/>
        <v>#N/A</v>
      </c>
      <c r="O316" s="589">
        <f t="shared" si="43"/>
        <v>0</v>
      </c>
      <c r="P316" s="66">
        <f t="shared" si="44"/>
      </c>
    </row>
    <row r="317" spans="1:16" ht="12.75">
      <c r="A317" s="590"/>
      <c r="B317" s="592"/>
      <c r="C317" s="593"/>
      <c r="D317" s="593"/>
      <c r="E317" s="596"/>
      <c r="F317" s="596"/>
      <c r="G317" s="584" t="e">
        <f t="shared" si="36"/>
        <v>#N/A</v>
      </c>
      <c r="H317" s="600"/>
      <c r="I317" s="585">
        <f t="shared" si="39"/>
        <v>0</v>
      </c>
      <c r="J317" s="586" t="e">
        <f t="shared" si="40"/>
        <v>#DIV/0!</v>
      </c>
      <c r="K317" s="587" t="e">
        <f t="shared" si="41"/>
        <v>#N/A</v>
      </c>
      <c r="L317" s="587">
        <f t="shared" si="42"/>
        <v>0</v>
      </c>
      <c r="M317" s="588" t="e">
        <f t="shared" si="37"/>
        <v>#N/A</v>
      </c>
      <c r="N317" s="589" t="e">
        <f t="shared" si="38"/>
        <v>#N/A</v>
      </c>
      <c r="O317" s="589">
        <f t="shared" si="43"/>
        <v>0</v>
      </c>
      <c r="P317" s="66">
        <f t="shared" si="44"/>
      </c>
    </row>
    <row r="318" spans="1:16" ht="12.75">
      <c r="A318" s="590"/>
      <c r="B318" s="592"/>
      <c r="C318" s="599"/>
      <c r="D318" s="593"/>
      <c r="E318" s="596"/>
      <c r="F318" s="596"/>
      <c r="G318" s="584" t="e">
        <f t="shared" si="36"/>
        <v>#N/A</v>
      </c>
      <c r="H318" s="600"/>
      <c r="I318" s="585">
        <f t="shared" si="39"/>
        <v>0</v>
      </c>
      <c r="J318" s="586" t="e">
        <f t="shared" si="40"/>
        <v>#DIV/0!</v>
      </c>
      <c r="K318" s="587" t="e">
        <f t="shared" si="41"/>
        <v>#N/A</v>
      </c>
      <c r="L318" s="587">
        <f t="shared" si="42"/>
        <v>0</v>
      </c>
      <c r="M318" s="588" t="e">
        <f t="shared" si="37"/>
        <v>#N/A</v>
      </c>
      <c r="N318" s="589" t="e">
        <f t="shared" si="38"/>
        <v>#N/A</v>
      </c>
      <c r="O318" s="589">
        <f t="shared" si="43"/>
        <v>0</v>
      </c>
      <c r="P318" s="66">
        <f t="shared" si="44"/>
      </c>
    </row>
    <row r="319" spans="1:16" ht="11.25" customHeight="1">
      <c r="A319" s="590"/>
      <c r="B319" s="592"/>
      <c r="C319" s="593"/>
      <c r="D319" s="593"/>
      <c r="E319" s="596"/>
      <c r="F319" s="596"/>
      <c r="G319" s="584" t="e">
        <f t="shared" si="36"/>
        <v>#N/A</v>
      </c>
      <c r="H319" s="600"/>
      <c r="I319" s="585">
        <f t="shared" si="39"/>
        <v>0</v>
      </c>
      <c r="J319" s="586" t="e">
        <f t="shared" si="40"/>
        <v>#DIV/0!</v>
      </c>
      <c r="K319" s="587" t="e">
        <f t="shared" si="41"/>
        <v>#N/A</v>
      </c>
      <c r="L319" s="587">
        <f t="shared" si="42"/>
        <v>0</v>
      </c>
      <c r="M319" s="588" t="e">
        <f t="shared" si="37"/>
        <v>#N/A</v>
      </c>
      <c r="N319" s="589" t="e">
        <f t="shared" si="38"/>
        <v>#N/A</v>
      </c>
      <c r="O319" s="589">
        <f t="shared" si="43"/>
        <v>0</v>
      </c>
      <c r="P319" s="66">
        <f t="shared" si="44"/>
      </c>
    </row>
    <row r="320" spans="1:16" ht="12.75">
      <c r="A320" s="590"/>
      <c r="B320" s="592"/>
      <c r="C320" s="593"/>
      <c r="D320" s="593"/>
      <c r="E320" s="596"/>
      <c r="F320" s="596"/>
      <c r="G320" s="584" t="e">
        <f t="shared" si="36"/>
        <v>#N/A</v>
      </c>
      <c r="H320" s="600"/>
      <c r="I320" s="585">
        <f t="shared" si="39"/>
        <v>0</v>
      </c>
      <c r="J320" s="586" t="e">
        <f t="shared" si="40"/>
        <v>#DIV/0!</v>
      </c>
      <c r="K320" s="587" t="e">
        <f t="shared" si="41"/>
        <v>#N/A</v>
      </c>
      <c r="L320" s="587">
        <f t="shared" si="42"/>
        <v>0</v>
      </c>
      <c r="M320" s="588" t="e">
        <f t="shared" si="37"/>
        <v>#N/A</v>
      </c>
      <c r="N320" s="589" t="e">
        <f t="shared" si="38"/>
        <v>#N/A</v>
      </c>
      <c r="O320" s="589">
        <f t="shared" si="43"/>
        <v>0</v>
      </c>
      <c r="P320" s="66">
        <f t="shared" si="44"/>
      </c>
    </row>
    <row r="321" spans="1:16" ht="12.75">
      <c r="A321" s="590"/>
      <c r="B321" s="592"/>
      <c r="C321" s="593"/>
      <c r="D321" s="593"/>
      <c r="E321" s="596"/>
      <c r="F321" s="596"/>
      <c r="G321" s="584" t="e">
        <f t="shared" si="36"/>
        <v>#N/A</v>
      </c>
      <c r="H321" s="600"/>
      <c r="I321" s="585">
        <f t="shared" si="39"/>
        <v>0</v>
      </c>
      <c r="J321" s="586" t="e">
        <f t="shared" si="40"/>
        <v>#DIV/0!</v>
      </c>
      <c r="K321" s="587" t="e">
        <f t="shared" si="41"/>
        <v>#N/A</v>
      </c>
      <c r="L321" s="587">
        <f t="shared" si="42"/>
        <v>0</v>
      </c>
      <c r="M321" s="588" t="e">
        <f t="shared" si="37"/>
        <v>#N/A</v>
      </c>
      <c r="N321" s="589" t="e">
        <f t="shared" si="38"/>
        <v>#N/A</v>
      </c>
      <c r="O321" s="589">
        <f t="shared" si="43"/>
        <v>0</v>
      </c>
      <c r="P321" s="66">
        <f t="shared" si="44"/>
      </c>
    </row>
    <row r="322" spans="1:16" ht="12.75">
      <c r="A322" s="590"/>
      <c r="B322" s="592"/>
      <c r="C322" s="593"/>
      <c r="D322" s="593"/>
      <c r="E322" s="596"/>
      <c r="F322" s="596"/>
      <c r="G322" s="584" t="e">
        <f t="shared" si="36"/>
        <v>#N/A</v>
      </c>
      <c r="H322" s="600"/>
      <c r="I322" s="585">
        <f t="shared" si="39"/>
        <v>0</v>
      </c>
      <c r="J322" s="586" t="e">
        <f t="shared" si="40"/>
        <v>#DIV/0!</v>
      </c>
      <c r="K322" s="587" t="e">
        <f t="shared" si="41"/>
        <v>#N/A</v>
      </c>
      <c r="L322" s="587">
        <f t="shared" si="42"/>
        <v>0</v>
      </c>
      <c r="M322" s="588" t="e">
        <f t="shared" si="37"/>
        <v>#N/A</v>
      </c>
      <c r="N322" s="589" t="e">
        <f t="shared" si="38"/>
        <v>#N/A</v>
      </c>
      <c r="O322" s="589">
        <f t="shared" si="43"/>
        <v>0</v>
      </c>
      <c r="P322" s="66">
        <f t="shared" si="44"/>
      </c>
    </row>
    <row r="323" spans="1:16" ht="12.75">
      <c r="A323" s="590"/>
      <c r="B323" s="592"/>
      <c r="C323" s="593"/>
      <c r="D323" s="593"/>
      <c r="E323" s="596"/>
      <c r="F323" s="596"/>
      <c r="G323" s="584" t="e">
        <f t="shared" si="36"/>
        <v>#N/A</v>
      </c>
      <c r="H323" s="600"/>
      <c r="I323" s="585">
        <f t="shared" si="39"/>
        <v>0</v>
      </c>
      <c r="J323" s="586" t="e">
        <f t="shared" si="40"/>
        <v>#DIV/0!</v>
      </c>
      <c r="K323" s="587" t="e">
        <f t="shared" si="41"/>
        <v>#N/A</v>
      </c>
      <c r="L323" s="587">
        <f t="shared" si="42"/>
        <v>0</v>
      </c>
      <c r="M323" s="588" t="e">
        <f t="shared" si="37"/>
        <v>#N/A</v>
      </c>
      <c r="N323" s="589" t="e">
        <f t="shared" si="38"/>
        <v>#N/A</v>
      </c>
      <c r="O323" s="589">
        <f t="shared" si="43"/>
        <v>0</v>
      </c>
      <c r="P323" s="66">
        <f t="shared" si="44"/>
      </c>
    </row>
    <row r="324" spans="1:16" ht="12.75">
      <c r="A324" s="590"/>
      <c r="B324" s="592"/>
      <c r="C324" s="599"/>
      <c r="D324" s="593"/>
      <c r="E324" s="596"/>
      <c r="F324" s="596"/>
      <c r="G324" s="584" t="e">
        <f t="shared" si="36"/>
        <v>#N/A</v>
      </c>
      <c r="H324" s="600"/>
      <c r="I324" s="585">
        <f t="shared" si="39"/>
        <v>0</v>
      </c>
      <c r="J324" s="586" t="e">
        <f t="shared" si="40"/>
        <v>#DIV/0!</v>
      </c>
      <c r="K324" s="587" t="e">
        <f t="shared" si="41"/>
        <v>#N/A</v>
      </c>
      <c r="L324" s="587">
        <f t="shared" si="42"/>
        <v>0</v>
      </c>
      <c r="M324" s="588" t="e">
        <f t="shared" si="37"/>
        <v>#N/A</v>
      </c>
      <c r="N324" s="589" t="e">
        <f t="shared" si="38"/>
        <v>#N/A</v>
      </c>
      <c r="O324" s="589">
        <f t="shared" si="43"/>
        <v>0</v>
      </c>
      <c r="P324" s="66">
        <f t="shared" si="44"/>
      </c>
    </row>
    <row r="325" spans="1:16" ht="11.25" customHeight="1">
      <c r="A325" s="590"/>
      <c r="B325" s="592"/>
      <c r="C325" s="593"/>
      <c r="D325" s="593"/>
      <c r="E325" s="596"/>
      <c r="F325" s="596"/>
      <c r="G325" s="584" t="e">
        <f t="shared" si="36"/>
        <v>#N/A</v>
      </c>
      <c r="H325" s="600"/>
      <c r="I325" s="585">
        <f t="shared" si="39"/>
        <v>0</v>
      </c>
      <c r="J325" s="586" t="e">
        <f t="shared" si="40"/>
        <v>#DIV/0!</v>
      </c>
      <c r="K325" s="587" t="e">
        <f t="shared" si="41"/>
        <v>#N/A</v>
      </c>
      <c r="L325" s="587">
        <f t="shared" si="42"/>
        <v>0</v>
      </c>
      <c r="M325" s="588" t="e">
        <f t="shared" si="37"/>
        <v>#N/A</v>
      </c>
      <c r="N325" s="589" t="e">
        <f t="shared" si="38"/>
        <v>#N/A</v>
      </c>
      <c r="O325" s="589">
        <f t="shared" si="43"/>
        <v>0</v>
      </c>
      <c r="P325" s="66">
        <f t="shared" si="44"/>
      </c>
    </row>
    <row r="326" spans="1:16" ht="12.75">
      <c r="A326" s="590"/>
      <c r="B326" s="592"/>
      <c r="C326" s="593"/>
      <c r="D326" s="593"/>
      <c r="E326" s="596"/>
      <c r="F326" s="596"/>
      <c r="G326" s="584" t="e">
        <f t="shared" si="36"/>
        <v>#N/A</v>
      </c>
      <c r="H326" s="600"/>
      <c r="I326" s="585">
        <f t="shared" si="39"/>
        <v>0</v>
      </c>
      <c r="J326" s="586" t="e">
        <f t="shared" si="40"/>
        <v>#DIV/0!</v>
      </c>
      <c r="K326" s="587" t="e">
        <f t="shared" si="41"/>
        <v>#N/A</v>
      </c>
      <c r="L326" s="587">
        <f t="shared" si="42"/>
        <v>0</v>
      </c>
      <c r="M326" s="588" t="e">
        <f t="shared" si="37"/>
        <v>#N/A</v>
      </c>
      <c r="N326" s="589" t="e">
        <f t="shared" si="38"/>
        <v>#N/A</v>
      </c>
      <c r="O326" s="589">
        <f t="shared" si="43"/>
        <v>0</v>
      </c>
      <c r="P326" s="66">
        <f t="shared" si="44"/>
      </c>
    </row>
    <row r="327" spans="1:16" ht="12.75">
      <c r="A327" s="590"/>
      <c r="B327" s="592"/>
      <c r="C327" s="593"/>
      <c r="D327" s="593"/>
      <c r="E327" s="596"/>
      <c r="F327" s="596"/>
      <c r="G327" s="584" t="e">
        <f t="shared" si="36"/>
        <v>#N/A</v>
      </c>
      <c r="H327" s="600"/>
      <c r="I327" s="585">
        <f t="shared" si="39"/>
        <v>0</v>
      </c>
      <c r="J327" s="586" t="e">
        <f t="shared" si="40"/>
        <v>#DIV/0!</v>
      </c>
      <c r="K327" s="587" t="e">
        <f t="shared" si="41"/>
        <v>#N/A</v>
      </c>
      <c r="L327" s="587">
        <f t="shared" si="42"/>
        <v>0</v>
      </c>
      <c r="M327" s="588" t="e">
        <f t="shared" si="37"/>
        <v>#N/A</v>
      </c>
      <c r="N327" s="589" t="e">
        <f t="shared" si="38"/>
        <v>#N/A</v>
      </c>
      <c r="O327" s="589">
        <f t="shared" si="43"/>
        <v>0</v>
      </c>
      <c r="P327" s="66">
        <f t="shared" si="44"/>
      </c>
    </row>
    <row r="328" spans="1:16" ht="12.75">
      <c r="A328" s="590"/>
      <c r="B328" s="592"/>
      <c r="C328" s="593"/>
      <c r="D328" s="593"/>
      <c r="E328" s="596"/>
      <c r="F328" s="596"/>
      <c r="G328" s="584" t="e">
        <f t="shared" si="36"/>
        <v>#N/A</v>
      </c>
      <c r="H328" s="600"/>
      <c r="I328" s="585">
        <f t="shared" si="39"/>
        <v>0</v>
      </c>
      <c r="J328" s="586" t="e">
        <f t="shared" si="40"/>
        <v>#DIV/0!</v>
      </c>
      <c r="K328" s="587" t="e">
        <f t="shared" si="41"/>
        <v>#N/A</v>
      </c>
      <c r="L328" s="587">
        <f t="shared" si="42"/>
        <v>0</v>
      </c>
      <c r="M328" s="588" t="e">
        <f t="shared" si="37"/>
        <v>#N/A</v>
      </c>
      <c r="N328" s="589" t="e">
        <f t="shared" si="38"/>
        <v>#N/A</v>
      </c>
      <c r="O328" s="589">
        <f t="shared" si="43"/>
        <v>0</v>
      </c>
      <c r="P328" s="66">
        <f t="shared" si="44"/>
      </c>
    </row>
    <row r="329" spans="1:16" ht="12.75">
      <c r="A329" s="590"/>
      <c r="B329" s="592"/>
      <c r="C329" s="593"/>
      <c r="D329" s="593"/>
      <c r="E329" s="596"/>
      <c r="F329" s="596"/>
      <c r="G329" s="584" t="e">
        <f t="shared" si="36"/>
        <v>#N/A</v>
      </c>
      <c r="H329" s="600"/>
      <c r="I329" s="585">
        <f t="shared" si="39"/>
        <v>0</v>
      </c>
      <c r="J329" s="586" t="e">
        <f t="shared" si="40"/>
        <v>#DIV/0!</v>
      </c>
      <c r="K329" s="587" t="e">
        <f t="shared" si="41"/>
        <v>#N/A</v>
      </c>
      <c r="L329" s="587">
        <f t="shared" si="42"/>
        <v>0</v>
      </c>
      <c r="M329" s="588" t="e">
        <f t="shared" si="37"/>
        <v>#N/A</v>
      </c>
      <c r="N329" s="589" t="e">
        <f t="shared" si="38"/>
        <v>#N/A</v>
      </c>
      <c r="O329" s="589">
        <f t="shared" si="43"/>
        <v>0</v>
      </c>
      <c r="P329" s="66">
        <f t="shared" si="44"/>
      </c>
    </row>
    <row r="330" spans="1:16" ht="12.75">
      <c r="A330" s="590"/>
      <c r="B330" s="592"/>
      <c r="C330" s="599"/>
      <c r="D330" s="593"/>
      <c r="E330" s="596"/>
      <c r="F330" s="596"/>
      <c r="G330" s="584" t="e">
        <f t="shared" si="36"/>
        <v>#N/A</v>
      </c>
      <c r="H330" s="600"/>
      <c r="I330" s="585">
        <f t="shared" si="39"/>
        <v>0</v>
      </c>
      <c r="J330" s="586" t="e">
        <f t="shared" si="40"/>
        <v>#DIV/0!</v>
      </c>
      <c r="K330" s="587" t="e">
        <f t="shared" si="41"/>
        <v>#N/A</v>
      </c>
      <c r="L330" s="587">
        <f t="shared" si="42"/>
        <v>0</v>
      </c>
      <c r="M330" s="588" t="e">
        <f t="shared" si="37"/>
        <v>#N/A</v>
      </c>
      <c r="N330" s="589" t="e">
        <f t="shared" si="38"/>
        <v>#N/A</v>
      </c>
      <c r="O330" s="589">
        <f t="shared" si="43"/>
        <v>0</v>
      </c>
      <c r="P330" s="66">
        <f t="shared" si="44"/>
      </c>
    </row>
    <row r="331" spans="1:16" ht="11.25" customHeight="1">
      <c r="A331" s="590"/>
      <c r="B331" s="592"/>
      <c r="C331" s="593"/>
      <c r="D331" s="593"/>
      <c r="E331" s="596"/>
      <c r="F331" s="596"/>
      <c r="G331" s="584" t="e">
        <f t="shared" si="36"/>
        <v>#N/A</v>
      </c>
      <c r="H331" s="600"/>
      <c r="I331" s="585">
        <f t="shared" si="39"/>
        <v>0</v>
      </c>
      <c r="J331" s="586" t="e">
        <f t="shared" si="40"/>
        <v>#DIV/0!</v>
      </c>
      <c r="K331" s="587" t="e">
        <f t="shared" si="41"/>
        <v>#N/A</v>
      </c>
      <c r="L331" s="587">
        <f t="shared" si="42"/>
        <v>0</v>
      </c>
      <c r="M331" s="588" t="e">
        <f t="shared" si="37"/>
        <v>#N/A</v>
      </c>
      <c r="N331" s="589" t="e">
        <f t="shared" si="38"/>
        <v>#N/A</v>
      </c>
      <c r="O331" s="589">
        <f t="shared" si="43"/>
        <v>0</v>
      </c>
      <c r="P331" s="66">
        <f t="shared" si="44"/>
      </c>
    </row>
    <row r="332" spans="1:16" ht="12.75">
      <c r="A332" s="590"/>
      <c r="B332" s="592"/>
      <c r="C332" s="593"/>
      <c r="D332" s="593"/>
      <c r="E332" s="596"/>
      <c r="F332" s="596"/>
      <c r="G332" s="584" t="e">
        <f t="shared" si="36"/>
        <v>#N/A</v>
      </c>
      <c r="H332" s="600"/>
      <c r="I332" s="585">
        <f t="shared" si="39"/>
        <v>0</v>
      </c>
      <c r="J332" s="586" t="e">
        <f t="shared" si="40"/>
        <v>#DIV/0!</v>
      </c>
      <c r="K332" s="587" t="e">
        <f t="shared" si="41"/>
        <v>#N/A</v>
      </c>
      <c r="L332" s="587">
        <f t="shared" si="42"/>
        <v>0</v>
      </c>
      <c r="M332" s="588" t="e">
        <f t="shared" si="37"/>
        <v>#N/A</v>
      </c>
      <c r="N332" s="589" t="e">
        <f t="shared" si="38"/>
        <v>#N/A</v>
      </c>
      <c r="O332" s="589">
        <f t="shared" si="43"/>
        <v>0</v>
      </c>
      <c r="P332" s="66">
        <f t="shared" si="44"/>
      </c>
    </row>
    <row r="333" spans="1:16" ht="12.75">
      <c r="A333" s="590"/>
      <c r="B333" s="592"/>
      <c r="C333" s="593"/>
      <c r="D333" s="593"/>
      <c r="E333" s="596"/>
      <c r="F333" s="596"/>
      <c r="G333" s="584" t="e">
        <f t="shared" si="36"/>
        <v>#N/A</v>
      </c>
      <c r="H333" s="600"/>
      <c r="I333" s="585">
        <f t="shared" si="39"/>
        <v>0</v>
      </c>
      <c r="J333" s="586" t="e">
        <f t="shared" si="40"/>
        <v>#DIV/0!</v>
      </c>
      <c r="K333" s="587" t="e">
        <f t="shared" si="41"/>
        <v>#N/A</v>
      </c>
      <c r="L333" s="587">
        <f t="shared" si="42"/>
        <v>0</v>
      </c>
      <c r="M333" s="588" t="e">
        <f t="shared" si="37"/>
        <v>#N/A</v>
      </c>
      <c r="N333" s="589" t="e">
        <f t="shared" si="38"/>
        <v>#N/A</v>
      </c>
      <c r="O333" s="589">
        <f t="shared" si="43"/>
        <v>0</v>
      </c>
      <c r="P333" s="66">
        <f t="shared" si="44"/>
      </c>
    </row>
    <row r="334" spans="1:16" ht="12.75">
      <c r="A334" s="590"/>
      <c r="B334" s="592"/>
      <c r="C334" s="593"/>
      <c r="D334" s="593"/>
      <c r="E334" s="596"/>
      <c r="F334" s="596"/>
      <c r="G334" s="584" t="e">
        <f t="shared" si="36"/>
        <v>#N/A</v>
      </c>
      <c r="H334" s="600"/>
      <c r="I334" s="585">
        <f t="shared" si="39"/>
        <v>0</v>
      </c>
      <c r="J334" s="586" t="e">
        <f t="shared" si="40"/>
        <v>#DIV/0!</v>
      </c>
      <c r="K334" s="587" t="e">
        <f t="shared" si="41"/>
        <v>#N/A</v>
      </c>
      <c r="L334" s="587">
        <f t="shared" si="42"/>
        <v>0</v>
      </c>
      <c r="M334" s="588" t="e">
        <f t="shared" si="37"/>
        <v>#N/A</v>
      </c>
      <c r="N334" s="589" t="e">
        <f t="shared" si="38"/>
        <v>#N/A</v>
      </c>
      <c r="O334" s="589">
        <f t="shared" si="43"/>
        <v>0</v>
      </c>
      <c r="P334" s="66">
        <f t="shared" si="44"/>
      </c>
    </row>
    <row r="335" spans="1:16" ht="12.75">
      <c r="A335" s="590"/>
      <c r="B335" s="592"/>
      <c r="C335" s="593"/>
      <c r="D335" s="593"/>
      <c r="E335" s="596"/>
      <c r="F335" s="596"/>
      <c r="G335" s="584" t="e">
        <f t="shared" si="36"/>
        <v>#N/A</v>
      </c>
      <c r="H335" s="600"/>
      <c r="I335" s="585">
        <f t="shared" si="39"/>
        <v>0</v>
      </c>
      <c r="J335" s="586" t="e">
        <f t="shared" si="40"/>
        <v>#DIV/0!</v>
      </c>
      <c r="K335" s="587" t="e">
        <f t="shared" si="41"/>
        <v>#N/A</v>
      </c>
      <c r="L335" s="587">
        <f t="shared" si="42"/>
        <v>0</v>
      </c>
      <c r="M335" s="588" t="e">
        <f t="shared" si="37"/>
        <v>#N/A</v>
      </c>
      <c r="N335" s="589" t="e">
        <f t="shared" si="38"/>
        <v>#N/A</v>
      </c>
      <c r="O335" s="589">
        <f t="shared" si="43"/>
        <v>0</v>
      </c>
      <c r="P335" s="66">
        <f t="shared" si="44"/>
      </c>
    </row>
    <row r="336" spans="1:16" ht="12.75">
      <c r="A336" s="590"/>
      <c r="B336" s="592"/>
      <c r="C336" s="599"/>
      <c r="D336" s="593"/>
      <c r="E336" s="596"/>
      <c r="F336" s="596"/>
      <c r="G336" s="584" t="e">
        <f t="shared" si="36"/>
        <v>#N/A</v>
      </c>
      <c r="H336" s="600"/>
      <c r="I336" s="585">
        <f t="shared" si="39"/>
        <v>0</v>
      </c>
      <c r="J336" s="586" t="e">
        <f t="shared" si="40"/>
        <v>#DIV/0!</v>
      </c>
      <c r="K336" s="587" t="e">
        <f t="shared" si="41"/>
        <v>#N/A</v>
      </c>
      <c r="L336" s="587">
        <f t="shared" si="42"/>
        <v>0</v>
      </c>
      <c r="M336" s="588" t="e">
        <f t="shared" si="37"/>
        <v>#N/A</v>
      </c>
      <c r="N336" s="589" t="e">
        <f t="shared" si="38"/>
        <v>#N/A</v>
      </c>
      <c r="O336" s="589">
        <f t="shared" si="43"/>
        <v>0</v>
      </c>
      <c r="P336" s="66">
        <f t="shared" si="44"/>
      </c>
    </row>
    <row r="337" spans="1:16" ht="12.75">
      <c r="A337" s="590"/>
      <c r="B337" s="592"/>
      <c r="C337" s="593"/>
      <c r="D337" s="593"/>
      <c r="E337" s="596"/>
      <c r="F337" s="596"/>
      <c r="G337" s="584" t="e">
        <f t="shared" si="36"/>
        <v>#N/A</v>
      </c>
      <c r="H337" s="600"/>
      <c r="I337" s="585">
        <f t="shared" si="39"/>
        <v>0</v>
      </c>
      <c r="J337" s="586" t="e">
        <f t="shared" si="40"/>
        <v>#DIV/0!</v>
      </c>
      <c r="K337" s="587" t="e">
        <f t="shared" si="41"/>
        <v>#N/A</v>
      </c>
      <c r="L337" s="587">
        <f t="shared" si="42"/>
        <v>0</v>
      </c>
      <c r="M337" s="588" t="e">
        <f t="shared" si="37"/>
        <v>#N/A</v>
      </c>
      <c r="N337" s="589" t="e">
        <f t="shared" si="38"/>
        <v>#N/A</v>
      </c>
      <c r="O337" s="589">
        <f t="shared" si="43"/>
        <v>0</v>
      </c>
      <c r="P337" s="66">
        <f t="shared" si="44"/>
      </c>
    </row>
    <row r="338" spans="1:16" ht="12.75">
      <c r="A338" s="590"/>
      <c r="B338" s="592"/>
      <c r="C338" s="593"/>
      <c r="D338" s="593"/>
      <c r="E338" s="596"/>
      <c r="F338" s="596"/>
      <c r="G338" s="584" t="e">
        <f t="shared" si="36"/>
        <v>#N/A</v>
      </c>
      <c r="H338" s="600"/>
      <c r="I338" s="585">
        <f t="shared" si="39"/>
        <v>0</v>
      </c>
      <c r="J338" s="586" t="e">
        <f t="shared" si="40"/>
        <v>#DIV/0!</v>
      </c>
      <c r="K338" s="587" t="e">
        <f t="shared" si="41"/>
        <v>#N/A</v>
      </c>
      <c r="L338" s="587">
        <f t="shared" si="42"/>
        <v>0</v>
      </c>
      <c r="M338" s="588" t="e">
        <f t="shared" si="37"/>
        <v>#N/A</v>
      </c>
      <c r="N338" s="589" t="e">
        <f t="shared" si="38"/>
        <v>#N/A</v>
      </c>
      <c r="O338" s="589">
        <f t="shared" si="43"/>
        <v>0</v>
      </c>
      <c r="P338" s="66">
        <f t="shared" si="44"/>
      </c>
    </row>
    <row r="339" spans="1:16" ht="12.75">
      <c r="A339" s="590"/>
      <c r="B339" s="592"/>
      <c r="C339" s="593"/>
      <c r="D339" s="593"/>
      <c r="E339" s="596"/>
      <c r="F339" s="596"/>
      <c r="G339" s="584" t="e">
        <f t="shared" si="36"/>
        <v>#N/A</v>
      </c>
      <c r="H339" s="600"/>
      <c r="I339" s="585">
        <f t="shared" si="39"/>
        <v>0</v>
      </c>
      <c r="J339" s="586" t="e">
        <f t="shared" si="40"/>
        <v>#DIV/0!</v>
      </c>
      <c r="K339" s="587" t="e">
        <f t="shared" si="41"/>
        <v>#N/A</v>
      </c>
      <c r="L339" s="587">
        <f t="shared" si="42"/>
        <v>0</v>
      </c>
      <c r="M339" s="588" t="e">
        <f t="shared" si="37"/>
        <v>#N/A</v>
      </c>
      <c r="N339" s="589" t="e">
        <f t="shared" si="38"/>
        <v>#N/A</v>
      </c>
      <c r="O339" s="589">
        <f t="shared" si="43"/>
        <v>0</v>
      </c>
      <c r="P339" s="66">
        <f t="shared" si="44"/>
      </c>
    </row>
    <row r="340" spans="1:16" ht="12.75">
      <c r="A340" s="590"/>
      <c r="B340" s="592"/>
      <c r="C340" s="593"/>
      <c r="D340" s="593"/>
      <c r="E340" s="596"/>
      <c r="F340" s="596"/>
      <c r="G340" s="584" t="e">
        <f t="shared" si="36"/>
        <v>#N/A</v>
      </c>
      <c r="H340" s="600"/>
      <c r="I340" s="585">
        <f t="shared" si="39"/>
        <v>0</v>
      </c>
      <c r="J340" s="586" t="e">
        <f t="shared" si="40"/>
        <v>#DIV/0!</v>
      </c>
      <c r="K340" s="587" t="e">
        <f t="shared" si="41"/>
        <v>#N/A</v>
      </c>
      <c r="L340" s="587">
        <f t="shared" si="42"/>
        <v>0</v>
      </c>
      <c r="M340" s="588" t="e">
        <f t="shared" si="37"/>
        <v>#N/A</v>
      </c>
      <c r="N340" s="589" t="e">
        <f t="shared" si="38"/>
        <v>#N/A</v>
      </c>
      <c r="O340" s="589">
        <f t="shared" si="43"/>
        <v>0</v>
      </c>
      <c r="P340" s="66">
        <f t="shared" si="44"/>
      </c>
    </row>
    <row r="341" spans="1:16" ht="12.75">
      <c r="A341" s="590"/>
      <c r="B341" s="592"/>
      <c r="C341" s="593"/>
      <c r="D341" s="593"/>
      <c r="E341" s="596"/>
      <c r="F341" s="596"/>
      <c r="G341" s="584" t="e">
        <f t="shared" si="36"/>
        <v>#N/A</v>
      </c>
      <c r="H341" s="600"/>
      <c r="I341" s="585">
        <f t="shared" si="39"/>
        <v>0</v>
      </c>
      <c r="J341" s="586" t="e">
        <f t="shared" si="40"/>
        <v>#DIV/0!</v>
      </c>
      <c r="K341" s="587" t="e">
        <f t="shared" si="41"/>
        <v>#N/A</v>
      </c>
      <c r="L341" s="587">
        <f t="shared" si="42"/>
        <v>0</v>
      </c>
      <c r="M341" s="588" t="e">
        <f t="shared" si="37"/>
        <v>#N/A</v>
      </c>
      <c r="N341" s="589" t="e">
        <f t="shared" si="38"/>
        <v>#N/A</v>
      </c>
      <c r="O341" s="589">
        <f t="shared" si="43"/>
        <v>0</v>
      </c>
      <c r="P341" s="66">
        <f t="shared" si="44"/>
      </c>
    </row>
    <row r="342" spans="1:16" ht="12.75">
      <c r="A342" s="590"/>
      <c r="B342" s="592"/>
      <c r="C342" s="599"/>
      <c r="D342" s="593"/>
      <c r="E342" s="596"/>
      <c r="F342" s="596"/>
      <c r="G342" s="584" t="e">
        <f t="shared" si="36"/>
        <v>#N/A</v>
      </c>
      <c r="H342" s="600"/>
      <c r="I342" s="585">
        <f t="shared" si="39"/>
        <v>0</v>
      </c>
      <c r="J342" s="586" t="e">
        <f t="shared" si="40"/>
        <v>#DIV/0!</v>
      </c>
      <c r="K342" s="587" t="e">
        <f t="shared" si="41"/>
        <v>#N/A</v>
      </c>
      <c r="L342" s="587">
        <f t="shared" si="42"/>
        <v>0</v>
      </c>
      <c r="M342" s="588" t="e">
        <f t="shared" si="37"/>
        <v>#N/A</v>
      </c>
      <c r="N342" s="589" t="e">
        <f t="shared" si="38"/>
        <v>#N/A</v>
      </c>
      <c r="O342" s="589">
        <f t="shared" si="43"/>
        <v>0</v>
      </c>
      <c r="P342" s="66">
        <f t="shared" si="44"/>
      </c>
    </row>
    <row r="343" spans="1:16" ht="12.75">
      <c r="A343" s="590"/>
      <c r="B343" s="592"/>
      <c r="C343" s="593"/>
      <c r="D343" s="593"/>
      <c r="E343" s="596"/>
      <c r="F343" s="596"/>
      <c r="G343" s="584" t="e">
        <f t="shared" si="36"/>
        <v>#N/A</v>
      </c>
      <c r="H343" s="600"/>
      <c r="I343" s="585">
        <f t="shared" si="39"/>
        <v>0</v>
      </c>
      <c r="J343" s="586" t="e">
        <f t="shared" si="40"/>
        <v>#DIV/0!</v>
      </c>
      <c r="K343" s="587" t="e">
        <f t="shared" si="41"/>
        <v>#N/A</v>
      </c>
      <c r="L343" s="587">
        <f t="shared" si="42"/>
        <v>0</v>
      </c>
      <c r="M343" s="588" t="e">
        <f t="shared" si="37"/>
        <v>#N/A</v>
      </c>
      <c r="N343" s="589" t="e">
        <f t="shared" si="38"/>
        <v>#N/A</v>
      </c>
      <c r="O343" s="589">
        <f t="shared" si="43"/>
        <v>0</v>
      </c>
      <c r="P343" s="66">
        <f t="shared" si="44"/>
      </c>
    </row>
    <row r="344" spans="1:16" ht="12.75">
      <c r="A344" s="590"/>
      <c r="B344" s="592"/>
      <c r="C344" s="593"/>
      <c r="D344" s="593"/>
      <c r="E344" s="596"/>
      <c r="F344" s="596"/>
      <c r="G344" s="584" t="e">
        <f t="shared" si="36"/>
        <v>#N/A</v>
      </c>
      <c r="H344" s="600"/>
      <c r="I344" s="585">
        <f t="shared" si="39"/>
        <v>0</v>
      </c>
      <c r="J344" s="586" t="e">
        <f t="shared" si="40"/>
        <v>#DIV/0!</v>
      </c>
      <c r="K344" s="587" t="e">
        <f t="shared" si="41"/>
        <v>#N/A</v>
      </c>
      <c r="L344" s="587">
        <f t="shared" si="42"/>
        <v>0</v>
      </c>
      <c r="M344" s="588" t="e">
        <f t="shared" si="37"/>
        <v>#N/A</v>
      </c>
      <c r="N344" s="589" t="e">
        <f t="shared" si="38"/>
        <v>#N/A</v>
      </c>
      <c r="O344" s="589">
        <f t="shared" si="43"/>
        <v>0</v>
      </c>
      <c r="P344" s="66">
        <f t="shared" si="44"/>
      </c>
    </row>
    <row r="345" spans="1:16" ht="12.75">
      <c r="A345" s="590"/>
      <c r="B345" s="592"/>
      <c r="C345" s="593"/>
      <c r="D345" s="593"/>
      <c r="E345" s="596"/>
      <c r="F345" s="596"/>
      <c r="G345" s="584" t="e">
        <f t="shared" si="36"/>
        <v>#N/A</v>
      </c>
      <c r="H345" s="600"/>
      <c r="I345" s="585">
        <f t="shared" si="39"/>
        <v>0</v>
      </c>
      <c r="J345" s="586" t="e">
        <f t="shared" si="40"/>
        <v>#DIV/0!</v>
      </c>
      <c r="K345" s="587" t="e">
        <f t="shared" si="41"/>
        <v>#N/A</v>
      </c>
      <c r="L345" s="587">
        <f t="shared" si="42"/>
        <v>0</v>
      </c>
      <c r="M345" s="588" t="e">
        <f t="shared" si="37"/>
        <v>#N/A</v>
      </c>
      <c r="N345" s="589" t="e">
        <f t="shared" si="38"/>
        <v>#N/A</v>
      </c>
      <c r="O345" s="589">
        <f t="shared" si="43"/>
        <v>0</v>
      </c>
      <c r="P345" s="66">
        <f t="shared" si="44"/>
      </c>
    </row>
    <row r="346" spans="1:16" ht="12.75">
      <c r="A346" s="590"/>
      <c r="B346" s="592"/>
      <c r="C346" s="593"/>
      <c r="D346" s="593"/>
      <c r="E346" s="596"/>
      <c r="F346" s="596"/>
      <c r="G346" s="584" t="e">
        <f t="shared" si="36"/>
        <v>#N/A</v>
      </c>
      <c r="H346" s="600"/>
      <c r="I346" s="585">
        <f t="shared" si="39"/>
        <v>0</v>
      </c>
      <c r="J346" s="586" t="e">
        <f t="shared" si="40"/>
        <v>#DIV/0!</v>
      </c>
      <c r="K346" s="587" t="e">
        <f t="shared" si="41"/>
        <v>#N/A</v>
      </c>
      <c r="L346" s="587">
        <f t="shared" si="42"/>
        <v>0</v>
      </c>
      <c r="M346" s="588" t="e">
        <f t="shared" si="37"/>
        <v>#N/A</v>
      </c>
      <c r="N346" s="589" t="e">
        <f t="shared" si="38"/>
        <v>#N/A</v>
      </c>
      <c r="O346" s="589">
        <f t="shared" si="43"/>
        <v>0</v>
      </c>
      <c r="P346" s="66">
        <f t="shared" si="44"/>
      </c>
    </row>
    <row r="347" spans="1:16" ht="12.75">
      <c r="A347" s="590"/>
      <c r="B347" s="592"/>
      <c r="C347" s="593"/>
      <c r="D347" s="593"/>
      <c r="E347" s="596"/>
      <c r="F347" s="596"/>
      <c r="G347" s="584" t="e">
        <f t="shared" si="36"/>
        <v>#N/A</v>
      </c>
      <c r="H347" s="600"/>
      <c r="I347" s="585">
        <f t="shared" si="39"/>
        <v>0</v>
      </c>
      <c r="J347" s="586" t="e">
        <f t="shared" si="40"/>
        <v>#DIV/0!</v>
      </c>
      <c r="K347" s="587" t="e">
        <f t="shared" si="41"/>
        <v>#N/A</v>
      </c>
      <c r="L347" s="587">
        <f t="shared" si="42"/>
        <v>0</v>
      </c>
      <c r="M347" s="588" t="e">
        <f t="shared" si="37"/>
        <v>#N/A</v>
      </c>
      <c r="N347" s="589" t="e">
        <f t="shared" si="38"/>
        <v>#N/A</v>
      </c>
      <c r="O347" s="589">
        <f t="shared" si="43"/>
        <v>0</v>
      </c>
      <c r="P347" s="66">
        <f t="shared" si="44"/>
      </c>
    </row>
    <row r="348" spans="1:16" ht="12.75">
      <c r="A348" s="590"/>
      <c r="B348" s="592"/>
      <c r="C348" s="599"/>
      <c r="D348" s="593"/>
      <c r="E348" s="596"/>
      <c r="F348" s="596"/>
      <c r="G348" s="584" t="e">
        <f aca="true" t="shared" si="45" ref="G348:G359">LOOKUP(F348,$I$2:$I$15,$J$2:$J$15)</f>
        <v>#N/A</v>
      </c>
      <c r="H348" s="600"/>
      <c r="I348" s="585">
        <f t="shared" si="39"/>
        <v>0</v>
      </c>
      <c r="J348" s="586" t="e">
        <f t="shared" si="40"/>
        <v>#DIV/0!</v>
      </c>
      <c r="K348" s="587" t="e">
        <f t="shared" si="41"/>
        <v>#N/A</v>
      </c>
      <c r="L348" s="587">
        <f t="shared" si="42"/>
        <v>0</v>
      </c>
      <c r="M348" s="588" t="e">
        <f aca="true" t="shared" si="46" ref="M348:M359">IF(D348="Exit Signs","NA",E348*LOOKUP(F348,$I$2:$I$24,$K$2:$K$24)/B348)</f>
        <v>#N/A</v>
      </c>
      <c r="N348" s="589" t="e">
        <f aca="true" t="shared" si="47" ref="N348:N359">LOOKUP(D348,$T$2:$T$13,$V$2:$V$13)</f>
        <v>#N/A</v>
      </c>
      <c r="O348" s="589">
        <f t="shared" si="43"/>
        <v>0</v>
      </c>
      <c r="P348" s="66">
        <f t="shared" si="44"/>
      </c>
    </row>
    <row r="349" spans="1:16" ht="12.75">
      <c r="A349" s="590"/>
      <c r="B349" s="592"/>
      <c r="C349" s="593"/>
      <c r="D349" s="593"/>
      <c r="E349" s="596"/>
      <c r="F349" s="596"/>
      <c r="G349" s="584" t="e">
        <f t="shared" si="45"/>
        <v>#N/A</v>
      </c>
      <c r="H349" s="600"/>
      <c r="I349" s="585">
        <f aca="true" t="shared" si="48" ref="I349:I359">IF(E349&gt;0,E349*G349*H349,0)</f>
        <v>0</v>
      </c>
      <c r="J349" s="586" t="e">
        <f aca="true" t="shared" si="49" ref="J349:J359">IF(D349="Exit Signs","convert to kW",I349/(B349*H349))</f>
        <v>#DIV/0!</v>
      </c>
      <c r="K349" s="587" t="e">
        <f aca="true" t="shared" si="50" ref="K349:K359">IF($C$15="Space-By-Space (9.6.1)",LOOKUP(D349,$T$2:$T$13,$U$2:$U$13),0.7)</f>
        <v>#N/A</v>
      </c>
      <c r="L349" s="587">
        <f aca="true" t="shared" si="51" ref="L349:L359">IF(D349="Exit Signs",5*E349,IF(B349&gt;0,K349*B349,0))</f>
        <v>0</v>
      </c>
      <c r="M349" s="588" t="e">
        <f t="shared" si="46"/>
        <v>#N/A</v>
      </c>
      <c r="N349" s="589" t="e">
        <f t="shared" si="47"/>
        <v>#N/A</v>
      </c>
      <c r="O349" s="589">
        <f aca="true" t="shared" si="52" ref="O349:O359">B349*H349</f>
        <v>0</v>
      </c>
      <c r="P349" s="66">
        <f aca="true" t="shared" si="53" ref="P349:P359">IF(E349&gt;0,IF(M349&lt;N349,"Insufficient lighting to meet IESNA footcandle recommendations.",""),"")</f>
      </c>
    </row>
    <row r="350" spans="1:16" ht="12.75">
      <c r="A350" s="590"/>
      <c r="B350" s="592"/>
      <c r="C350" s="593"/>
      <c r="D350" s="593"/>
      <c r="E350" s="596"/>
      <c r="F350" s="596"/>
      <c r="G350" s="584" t="e">
        <f t="shared" si="45"/>
        <v>#N/A</v>
      </c>
      <c r="H350" s="600"/>
      <c r="I350" s="585">
        <f t="shared" si="48"/>
        <v>0</v>
      </c>
      <c r="J350" s="586" t="e">
        <f t="shared" si="49"/>
        <v>#DIV/0!</v>
      </c>
      <c r="K350" s="587" t="e">
        <f t="shared" si="50"/>
        <v>#N/A</v>
      </c>
      <c r="L350" s="587">
        <f t="shared" si="51"/>
        <v>0</v>
      </c>
      <c r="M350" s="588" t="e">
        <f t="shared" si="46"/>
        <v>#N/A</v>
      </c>
      <c r="N350" s="589" t="e">
        <f t="shared" si="47"/>
        <v>#N/A</v>
      </c>
      <c r="O350" s="589">
        <f t="shared" si="52"/>
        <v>0</v>
      </c>
      <c r="P350" s="66">
        <f t="shared" si="53"/>
      </c>
    </row>
    <row r="351" spans="1:16" ht="12.75">
      <c r="A351" s="590"/>
      <c r="B351" s="592"/>
      <c r="C351" s="593"/>
      <c r="D351" s="593"/>
      <c r="E351" s="596"/>
      <c r="F351" s="596"/>
      <c r="G351" s="584" t="e">
        <f t="shared" si="45"/>
        <v>#N/A</v>
      </c>
      <c r="H351" s="600"/>
      <c r="I351" s="585">
        <f t="shared" si="48"/>
        <v>0</v>
      </c>
      <c r="J351" s="586" t="e">
        <f t="shared" si="49"/>
        <v>#DIV/0!</v>
      </c>
      <c r="K351" s="587" t="e">
        <f t="shared" si="50"/>
        <v>#N/A</v>
      </c>
      <c r="L351" s="587">
        <f t="shared" si="51"/>
        <v>0</v>
      </c>
      <c r="M351" s="588" t="e">
        <f t="shared" si="46"/>
        <v>#N/A</v>
      </c>
      <c r="N351" s="589" t="e">
        <f t="shared" si="47"/>
        <v>#N/A</v>
      </c>
      <c r="O351" s="589">
        <f t="shared" si="52"/>
        <v>0</v>
      </c>
      <c r="P351" s="66">
        <f t="shared" si="53"/>
      </c>
    </row>
    <row r="352" spans="1:16" ht="12.75">
      <c r="A352" s="590"/>
      <c r="B352" s="592"/>
      <c r="C352" s="593"/>
      <c r="D352" s="593"/>
      <c r="E352" s="596"/>
      <c r="F352" s="596"/>
      <c r="G352" s="584" t="e">
        <f t="shared" si="45"/>
        <v>#N/A</v>
      </c>
      <c r="H352" s="600"/>
      <c r="I352" s="585">
        <f t="shared" si="48"/>
        <v>0</v>
      </c>
      <c r="J352" s="586" t="e">
        <f t="shared" si="49"/>
        <v>#DIV/0!</v>
      </c>
      <c r="K352" s="587" t="e">
        <f t="shared" si="50"/>
        <v>#N/A</v>
      </c>
      <c r="L352" s="587">
        <f t="shared" si="51"/>
        <v>0</v>
      </c>
      <c r="M352" s="588" t="e">
        <f t="shared" si="46"/>
        <v>#N/A</v>
      </c>
      <c r="N352" s="589" t="e">
        <f t="shared" si="47"/>
        <v>#N/A</v>
      </c>
      <c r="O352" s="589">
        <f t="shared" si="52"/>
        <v>0</v>
      </c>
      <c r="P352" s="66">
        <f t="shared" si="53"/>
      </c>
    </row>
    <row r="353" spans="1:16" ht="12.75">
      <c r="A353" s="591"/>
      <c r="B353" s="592"/>
      <c r="C353" s="599"/>
      <c r="D353" s="593"/>
      <c r="E353" s="596"/>
      <c r="F353" s="596"/>
      <c r="G353" s="584" t="e">
        <f t="shared" si="45"/>
        <v>#N/A</v>
      </c>
      <c r="H353" s="600"/>
      <c r="I353" s="585">
        <f t="shared" si="48"/>
        <v>0</v>
      </c>
      <c r="J353" s="586" t="e">
        <f t="shared" si="49"/>
        <v>#DIV/0!</v>
      </c>
      <c r="K353" s="587" t="e">
        <f t="shared" si="50"/>
        <v>#N/A</v>
      </c>
      <c r="L353" s="587">
        <f t="shared" si="51"/>
        <v>0</v>
      </c>
      <c r="M353" s="588" t="e">
        <f t="shared" si="46"/>
        <v>#N/A</v>
      </c>
      <c r="N353" s="589" t="e">
        <f t="shared" si="47"/>
        <v>#N/A</v>
      </c>
      <c r="O353" s="589">
        <f t="shared" si="52"/>
        <v>0</v>
      </c>
      <c r="P353" s="66">
        <f t="shared" si="53"/>
      </c>
    </row>
    <row r="354" spans="1:16" ht="12.75">
      <c r="A354" s="591"/>
      <c r="B354" s="592"/>
      <c r="C354" s="593"/>
      <c r="D354" s="593"/>
      <c r="E354" s="596"/>
      <c r="F354" s="596"/>
      <c r="G354" s="584" t="e">
        <f t="shared" si="45"/>
        <v>#N/A</v>
      </c>
      <c r="H354" s="600"/>
      <c r="I354" s="585">
        <f t="shared" si="48"/>
        <v>0</v>
      </c>
      <c r="J354" s="586" t="e">
        <f t="shared" si="49"/>
        <v>#DIV/0!</v>
      </c>
      <c r="K354" s="587" t="e">
        <f t="shared" si="50"/>
        <v>#N/A</v>
      </c>
      <c r="L354" s="587">
        <f t="shared" si="51"/>
        <v>0</v>
      </c>
      <c r="M354" s="588" t="e">
        <f t="shared" si="46"/>
        <v>#N/A</v>
      </c>
      <c r="N354" s="589" t="e">
        <f t="shared" si="47"/>
        <v>#N/A</v>
      </c>
      <c r="O354" s="589">
        <f t="shared" si="52"/>
        <v>0</v>
      </c>
      <c r="P354" s="66">
        <f t="shared" si="53"/>
      </c>
    </row>
    <row r="355" spans="1:16" ht="12.75">
      <c r="A355" s="462"/>
      <c r="B355" s="592"/>
      <c r="C355" s="593"/>
      <c r="D355" s="593"/>
      <c r="E355" s="596"/>
      <c r="F355" s="596"/>
      <c r="G355" s="584" t="e">
        <f t="shared" si="45"/>
        <v>#N/A</v>
      </c>
      <c r="H355" s="600"/>
      <c r="I355" s="585">
        <f t="shared" si="48"/>
        <v>0</v>
      </c>
      <c r="J355" s="586" t="e">
        <f t="shared" si="49"/>
        <v>#DIV/0!</v>
      </c>
      <c r="K355" s="587" t="e">
        <f t="shared" si="50"/>
        <v>#N/A</v>
      </c>
      <c r="L355" s="587">
        <f t="shared" si="51"/>
        <v>0</v>
      </c>
      <c r="M355" s="588" t="e">
        <f t="shared" si="46"/>
        <v>#N/A</v>
      </c>
      <c r="N355" s="589" t="e">
        <f t="shared" si="47"/>
        <v>#N/A</v>
      </c>
      <c r="O355" s="589">
        <f t="shared" si="52"/>
        <v>0</v>
      </c>
      <c r="P355" s="66">
        <f t="shared" si="53"/>
      </c>
    </row>
    <row r="356" spans="1:16" ht="12.75">
      <c r="A356" s="462"/>
      <c r="B356" s="592"/>
      <c r="C356" s="593"/>
      <c r="D356" s="593"/>
      <c r="E356" s="596"/>
      <c r="F356" s="596"/>
      <c r="G356" s="584" t="e">
        <f t="shared" si="45"/>
        <v>#N/A</v>
      </c>
      <c r="H356" s="600"/>
      <c r="I356" s="585">
        <f t="shared" si="48"/>
        <v>0</v>
      </c>
      <c r="J356" s="586" t="e">
        <f t="shared" si="49"/>
        <v>#DIV/0!</v>
      </c>
      <c r="K356" s="587" t="e">
        <f t="shared" si="50"/>
        <v>#N/A</v>
      </c>
      <c r="L356" s="587">
        <f t="shared" si="51"/>
        <v>0</v>
      </c>
      <c r="M356" s="588" t="e">
        <f t="shared" si="46"/>
        <v>#N/A</v>
      </c>
      <c r="N356" s="589" t="e">
        <f t="shared" si="47"/>
        <v>#N/A</v>
      </c>
      <c r="O356" s="589">
        <f t="shared" si="52"/>
        <v>0</v>
      </c>
      <c r="P356" s="66">
        <f t="shared" si="53"/>
      </c>
    </row>
    <row r="357" spans="1:16" ht="12.75">
      <c r="A357" s="591"/>
      <c r="B357" s="592"/>
      <c r="C357" s="593"/>
      <c r="D357" s="593"/>
      <c r="E357" s="596"/>
      <c r="F357" s="596"/>
      <c r="G357" s="584" t="e">
        <f t="shared" si="45"/>
        <v>#N/A</v>
      </c>
      <c r="H357" s="600"/>
      <c r="I357" s="585">
        <f t="shared" si="48"/>
        <v>0</v>
      </c>
      <c r="J357" s="586" t="e">
        <f t="shared" si="49"/>
        <v>#DIV/0!</v>
      </c>
      <c r="K357" s="587" t="e">
        <f t="shared" si="50"/>
        <v>#N/A</v>
      </c>
      <c r="L357" s="587">
        <f t="shared" si="51"/>
        <v>0</v>
      </c>
      <c r="M357" s="588" t="e">
        <f t="shared" si="46"/>
        <v>#N/A</v>
      </c>
      <c r="N357" s="589" t="e">
        <f t="shared" si="47"/>
        <v>#N/A</v>
      </c>
      <c r="O357" s="589">
        <f t="shared" si="52"/>
        <v>0</v>
      </c>
      <c r="P357" s="66">
        <f t="shared" si="53"/>
      </c>
    </row>
    <row r="358" spans="1:16" ht="12.75">
      <c r="A358" s="591"/>
      <c r="B358" s="592"/>
      <c r="C358" s="593"/>
      <c r="D358" s="593"/>
      <c r="E358" s="596"/>
      <c r="F358" s="596"/>
      <c r="G358" s="584" t="e">
        <f t="shared" si="45"/>
        <v>#N/A</v>
      </c>
      <c r="H358" s="600"/>
      <c r="I358" s="585">
        <f t="shared" si="48"/>
        <v>0</v>
      </c>
      <c r="J358" s="586" t="e">
        <f t="shared" si="49"/>
        <v>#DIV/0!</v>
      </c>
      <c r="K358" s="587" t="e">
        <f t="shared" si="50"/>
        <v>#N/A</v>
      </c>
      <c r="L358" s="587">
        <f t="shared" si="51"/>
        <v>0</v>
      </c>
      <c r="M358" s="588" t="e">
        <f t="shared" si="46"/>
        <v>#N/A</v>
      </c>
      <c r="N358" s="589" t="e">
        <f t="shared" si="47"/>
        <v>#N/A</v>
      </c>
      <c r="O358" s="589">
        <f t="shared" si="52"/>
        <v>0</v>
      </c>
      <c r="P358" s="66">
        <f t="shared" si="53"/>
      </c>
    </row>
    <row r="359" spans="1:16" ht="12.75">
      <c r="A359" s="591"/>
      <c r="B359" s="592"/>
      <c r="C359" s="593"/>
      <c r="D359" s="593"/>
      <c r="E359" s="596"/>
      <c r="F359" s="596"/>
      <c r="G359" s="584" t="e">
        <f t="shared" si="45"/>
        <v>#N/A</v>
      </c>
      <c r="H359" s="600"/>
      <c r="I359" s="585">
        <f t="shared" si="48"/>
        <v>0</v>
      </c>
      <c r="J359" s="586" t="e">
        <f t="shared" si="49"/>
        <v>#DIV/0!</v>
      </c>
      <c r="K359" s="587" t="e">
        <f t="shared" si="50"/>
        <v>#N/A</v>
      </c>
      <c r="L359" s="587">
        <f t="shared" si="51"/>
        <v>0</v>
      </c>
      <c r="M359" s="588" t="e">
        <f t="shared" si="46"/>
        <v>#N/A</v>
      </c>
      <c r="N359" s="589" t="e">
        <f t="shared" si="47"/>
        <v>#N/A</v>
      </c>
      <c r="O359" s="589">
        <f t="shared" si="52"/>
        <v>0</v>
      </c>
      <c r="P359" s="66">
        <f t="shared" si="53"/>
      </c>
    </row>
    <row r="360" spans="3:13" ht="12.75">
      <c r="C360" s="784"/>
      <c r="D360" s="784"/>
      <c r="E360" s="785"/>
      <c r="F360" s="785"/>
      <c r="I360" s="553"/>
      <c r="J360" s="785"/>
      <c r="L360" s="553"/>
      <c r="M360" s="786"/>
    </row>
    <row r="361" spans="3:13" ht="12.75">
      <c r="C361" s="784"/>
      <c r="D361" s="784"/>
      <c r="E361" s="785"/>
      <c r="F361" s="785"/>
      <c r="L361" s="764"/>
      <c r="M361" s="731"/>
    </row>
    <row r="362" spans="3:13" ht="12.75">
      <c r="C362" s="784"/>
      <c r="D362" s="784"/>
      <c r="E362" s="785"/>
      <c r="F362" s="785"/>
      <c r="L362" s="764"/>
      <c r="M362" s="731"/>
    </row>
    <row r="363" spans="3:13" ht="12.75">
      <c r="C363" s="784"/>
      <c r="D363" s="784"/>
      <c r="E363" s="785"/>
      <c r="F363" s="785"/>
      <c r="L363" s="764"/>
      <c r="M363" s="731"/>
    </row>
    <row r="364" spans="1:13" ht="12.75">
      <c r="A364" s="725"/>
      <c r="C364" s="784"/>
      <c r="D364" s="784"/>
      <c r="E364" s="785"/>
      <c r="F364" s="785"/>
      <c r="L364" s="764"/>
      <c r="M364" s="731"/>
    </row>
    <row r="365" spans="3:13" ht="12.75">
      <c r="C365" s="784"/>
      <c r="D365" s="784"/>
      <c r="E365" s="785"/>
      <c r="F365" s="785"/>
      <c r="L365" s="764"/>
      <c r="M365" s="731"/>
    </row>
    <row r="366" spans="2:13" ht="12.75">
      <c r="B366" s="754"/>
      <c r="C366" s="784"/>
      <c r="D366" s="784"/>
      <c r="E366" s="785"/>
      <c r="F366" s="785"/>
      <c r="L366" s="764"/>
      <c r="M366" s="731"/>
    </row>
    <row r="367" spans="3:13" ht="12.75">
      <c r="C367" s="784"/>
      <c r="D367" s="784"/>
      <c r="E367" s="785"/>
      <c r="F367" s="785"/>
      <c r="L367" s="764"/>
      <c r="M367" s="731"/>
    </row>
    <row r="368" spans="3:13" ht="12.75">
      <c r="C368" s="784"/>
      <c r="D368" s="784"/>
      <c r="E368" s="785"/>
      <c r="F368" s="785"/>
      <c r="L368" s="764"/>
      <c r="M368" s="731"/>
    </row>
    <row r="369" spans="3:13" ht="12.75">
      <c r="C369" s="784"/>
      <c r="D369" s="784"/>
      <c r="E369" s="785"/>
      <c r="F369" s="785"/>
      <c r="L369" s="764"/>
      <c r="M369" s="731"/>
    </row>
    <row r="370" spans="3:13" ht="12.75">
      <c r="C370" s="784"/>
      <c r="D370" s="784"/>
      <c r="E370" s="785"/>
      <c r="F370" s="785"/>
      <c r="L370" s="764"/>
      <c r="M370" s="731"/>
    </row>
    <row r="371" spans="3:13" ht="12.75">
      <c r="C371" s="784"/>
      <c r="D371" s="784"/>
      <c r="E371" s="785"/>
      <c r="F371" s="785"/>
      <c r="L371" s="764"/>
      <c r="M371" s="731"/>
    </row>
    <row r="372" spans="3:13" ht="12.75">
      <c r="C372" s="784"/>
      <c r="D372" s="784"/>
      <c r="E372" s="785"/>
      <c r="F372" s="785"/>
      <c r="L372" s="764"/>
      <c r="M372" s="731"/>
    </row>
    <row r="373" spans="3:13" ht="12.75">
      <c r="C373" s="784"/>
      <c r="D373" s="784"/>
      <c r="E373" s="785"/>
      <c r="F373" s="785"/>
      <c r="L373" s="764"/>
      <c r="M373" s="731"/>
    </row>
    <row r="374" spans="3:13" ht="12.75">
      <c r="C374" s="784"/>
      <c r="D374" s="784"/>
      <c r="E374" s="785"/>
      <c r="F374" s="785"/>
      <c r="L374" s="764"/>
      <c r="M374" s="731"/>
    </row>
    <row r="375" spans="3:13" ht="12.75">
      <c r="C375" s="784"/>
      <c r="D375" s="784"/>
      <c r="E375" s="785"/>
      <c r="F375" s="785"/>
      <c r="L375" s="764"/>
      <c r="M375" s="731"/>
    </row>
    <row r="376" spans="3:13" ht="12.75">
      <c r="C376" s="784"/>
      <c r="D376" s="784"/>
      <c r="E376" s="785"/>
      <c r="F376" s="785"/>
      <c r="L376" s="764"/>
      <c r="M376" s="731"/>
    </row>
    <row r="377" spans="3:13" ht="12.75">
      <c r="C377" s="784"/>
      <c r="D377" s="784"/>
      <c r="E377" s="785"/>
      <c r="F377" s="785"/>
      <c r="L377" s="764"/>
      <c r="M377" s="731"/>
    </row>
    <row r="378" spans="3:13" ht="12.75">
      <c r="C378" s="784"/>
      <c r="D378" s="784"/>
      <c r="E378" s="785"/>
      <c r="F378" s="785"/>
      <c r="L378" s="764"/>
      <c r="M378" s="731"/>
    </row>
    <row r="379" spans="3:13" ht="12.75">
      <c r="C379" s="784"/>
      <c r="D379" s="784"/>
      <c r="E379" s="785"/>
      <c r="F379" s="785"/>
      <c r="L379" s="764"/>
      <c r="M379" s="731"/>
    </row>
    <row r="380" spans="3:13" ht="12.75">
      <c r="C380" s="784"/>
      <c r="D380" s="784"/>
      <c r="E380" s="785"/>
      <c r="F380" s="785"/>
      <c r="L380" s="764"/>
      <c r="M380" s="731"/>
    </row>
    <row r="381" spans="3:13" ht="12.75">
      <c r="C381" s="784"/>
      <c r="D381" s="784"/>
      <c r="E381" s="785"/>
      <c r="F381" s="785"/>
      <c r="L381" s="764"/>
      <c r="M381" s="731"/>
    </row>
    <row r="382" spans="3:13" ht="12.75">
      <c r="C382" s="784"/>
      <c r="D382" s="784"/>
      <c r="E382" s="785"/>
      <c r="F382" s="785"/>
      <c r="L382" s="764"/>
      <c r="M382" s="731"/>
    </row>
    <row r="383" spans="3:13" ht="12.75">
      <c r="C383" s="784"/>
      <c r="D383" s="784"/>
      <c r="E383" s="785"/>
      <c r="F383" s="785"/>
      <c r="L383" s="764"/>
      <c r="M383" s="731"/>
    </row>
    <row r="384" spans="3:13" ht="12.75">
      <c r="C384" s="784"/>
      <c r="D384" s="784"/>
      <c r="E384" s="785"/>
      <c r="F384" s="785"/>
      <c r="L384" s="764"/>
      <c r="M384" s="731"/>
    </row>
    <row r="385" spans="3:13" ht="12.75">
      <c r="C385" s="784"/>
      <c r="D385" s="784"/>
      <c r="E385" s="785"/>
      <c r="F385" s="785"/>
      <c r="L385" s="764"/>
      <c r="M385" s="731"/>
    </row>
    <row r="386" spans="3:13" ht="12.75">
      <c r="C386" s="784"/>
      <c r="D386" s="784"/>
      <c r="E386" s="785"/>
      <c r="F386" s="785"/>
      <c r="L386" s="764"/>
      <c r="M386" s="731"/>
    </row>
    <row r="387" spans="3:13" ht="12.75">
      <c r="C387" s="784"/>
      <c r="D387" s="784"/>
      <c r="E387" s="785"/>
      <c r="F387" s="785"/>
      <c r="L387" s="764"/>
      <c r="M387" s="731"/>
    </row>
    <row r="388" spans="3:13" ht="12.75">
      <c r="C388" s="784"/>
      <c r="D388" s="784"/>
      <c r="E388" s="785"/>
      <c r="F388" s="785"/>
      <c r="L388" s="764"/>
      <c r="M388" s="731"/>
    </row>
    <row r="389" spans="3:13" ht="12.75">
      <c r="C389" s="784"/>
      <c r="D389" s="784"/>
      <c r="E389" s="785"/>
      <c r="F389" s="785"/>
      <c r="L389" s="764"/>
      <c r="M389" s="731"/>
    </row>
    <row r="390" spans="3:13" ht="12.75">
      <c r="C390" s="784"/>
      <c r="D390" s="784"/>
      <c r="E390" s="785"/>
      <c r="F390" s="785"/>
      <c r="L390" s="764"/>
      <c r="M390" s="731"/>
    </row>
    <row r="391" spans="3:13" ht="12.75">
      <c r="C391" s="784"/>
      <c r="D391" s="784"/>
      <c r="E391" s="785"/>
      <c r="F391" s="785"/>
      <c r="L391" s="764"/>
      <c r="M391" s="731"/>
    </row>
    <row r="392" spans="3:13" ht="12.75">
      <c r="C392" s="784"/>
      <c r="D392" s="784"/>
      <c r="E392" s="785"/>
      <c r="F392" s="785"/>
      <c r="L392" s="764"/>
      <c r="M392" s="731"/>
    </row>
    <row r="393" spans="3:13" ht="12.75">
      <c r="C393" s="784"/>
      <c r="D393" s="784"/>
      <c r="E393" s="785"/>
      <c r="F393" s="785"/>
      <c r="L393" s="764"/>
      <c r="M393" s="731"/>
    </row>
    <row r="394" spans="3:13" ht="12.75">
      <c r="C394" s="784"/>
      <c r="D394" s="784"/>
      <c r="E394" s="785"/>
      <c r="F394" s="785"/>
      <c r="L394" s="764"/>
      <c r="M394" s="731"/>
    </row>
    <row r="395" spans="3:13" ht="12.75">
      <c r="C395" s="784"/>
      <c r="D395" s="784"/>
      <c r="E395" s="785"/>
      <c r="F395" s="785"/>
      <c r="L395" s="764"/>
      <c r="M395" s="731"/>
    </row>
    <row r="396" spans="3:13" ht="12.75">
      <c r="C396" s="784"/>
      <c r="D396" s="784"/>
      <c r="E396" s="785"/>
      <c r="F396" s="785"/>
      <c r="L396" s="764"/>
      <c r="M396" s="731"/>
    </row>
    <row r="397" spans="3:13" ht="12.75">
      <c r="C397" s="784"/>
      <c r="D397" s="784"/>
      <c r="E397" s="785"/>
      <c r="F397" s="785"/>
      <c r="L397" s="764"/>
      <c r="M397" s="731"/>
    </row>
    <row r="398" spans="3:13" ht="12.75">
      <c r="C398" s="784"/>
      <c r="D398" s="784"/>
      <c r="E398" s="785"/>
      <c r="F398" s="785"/>
      <c r="L398" s="764"/>
      <c r="M398" s="731"/>
    </row>
    <row r="399" spans="3:13" ht="12.75">
      <c r="C399" s="784"/>
      <c r="D399" s="784"/>
      <c r="E399" s="785"/>
      <c r="F399" s="785"/>
      <c r="L399" s="764"/>
      <c r="M399" s="731"/>
    </row>
    <row r="400" spans="3:13" ht="12.75">
      <c r="C400" s="784"/>
      <c r="D400" s="784"/>
      <c r="E400" s="785"/>
      <c r="F400" s="785"/>
      <c r="L400" s="764"/>
      <c r="M400" s="731"/>
    </row>
    <row r="401" spans="4:13" ht="12.75">
      <c r="D401" s="774"/>
      <c r="L401" s="764"/>
      <c r="M401" s="731"/>
    </row>
    <row r="402" spans="4:13" ht="12.75">
      <c r="D402" s="774"/>
      <c r="L402" s="764"/>
      <c r="M402" s="731"/>
    </row>
    <row r="403" spans="4:13" ht="12.75">
      <c r="D403" s="774"/>
      <c r="L403" s="764"/>
      <c r="M403" s="731"/>
    </row>
    <row r="404" spans="4:13" ht="12.75">
      <c r="D404" s="774"/>
      <c r="L404" s="764"/>
      <c r="M404" s="731"/>
    </row>
    <row r="405" spans="4:13" ht="12.75">
      <c r="D405" s="774"/>
      <c r="L405" s="764"/>
      <c r="M405" s="731"/>
    </row>
    <row r="406" spans="4:13" ht="12.75">
      <c r="D406" s="774"/>
      <c r="L406" s="764"/>
      <c r="M406" s="731"/>
    </row>
    <row r="407" spans="4:13" ht="12.75">
      <c r="D407" s="774"/>
      <c r="L407" s="764"/>
      <c r="M407" s="731"/>
    </row>
    <row r="408" spans="4:13" ht="12.75">
      <c r="D408" s="774"/>
      <c r="L408" s="764"/>
      <c r="M408" s="731"/>
    </row>
    <row r="409" spans="4:13" ht="12.75">
      <c r="D409" s="774"/>
      <c r="L409" s="764"/>
      <c r="M409" s="731"/>
    </row>
    <row r="410" spans="4:13" ht="12.75">
      <c r="D410" s="774"/>
      <c r="L410" s="764"/>
      <c r="M410" s="731"/>
    </row>
    <row r="411" spans="4:13" ht="12.75">
      <c r="D411" s="774"/>
      <c r="L411" s="764"/>
      <c r="M411" s="731"/>
    </row>
    <row r="412" spans="4:13" ht="12.75">
      <c r="D412" s="774"/>
      <c r="L412" s="764"/>
      <c r="M412" s="731"/>
    </row>
    <row r="413" spans="4:13" ht="12.75">
      <c r="D413" s="774"/>
      <c r="L413" s="764"/>
      <c r="M413" s="731"/>
    </row>
    <row r="414" spans="4:13" ht="12.75">
      <c r="D414" s="774"/>
      <c r="L414" s="764"/>
      <c r="M414" s="731"/>
    </row>
    <row r="415" spans="4:13" ht="12.75">
      <c r="D415" s="774"/>
      <c r="L415" s="764"/>
      <c r="M415" s="731"/>
    </row>
    <row r="416" spans="4:13" ht="12.75">
      <c r="D416" s="774"/>
      <c r="L416" s="764"/>
      <c r="M416" s="731"/>
    </row>
    <row r="417" spans="4:13" ht="12.75">
      <c r="D417" s="774"/>
      <c r="L417" s="764"/>
      <c r="M417" s="731"/>
    </row>
    <row r="418" spans="4:13" ht="12.75">
      <c r="D418" s="774"/>
      <c r="L418" s="764"/>
      <c r="M418" s="731"/>
    </row>
    <row r="419" spans="4:13" ht="12.75">
      <c r="D419" s="774"/>
      <c r="L419" s="764"/>
      <c r="M419" s="731"/>
    </row>
    <row r="420" spans="4:12" ht="12.75">
      <c r="D420" s="774"/>
      <c r="L420" s="764"/>
    </row>
    <row r="421" spans="4:12" ht="12.75">
      <c r="D421" s="774"/>
      <c r="L421" s="764"/>
    </row>
    <row r="422" spans="4:12" ht="12.75">
      <c r="D422" s="774"/>
      <c r="L422" s="764"/>
    </row>
    <row r="423" spans="4:12" ht="12.75">
      <c r="D423" s="774"/>
      <c r="L423" s="764"/>
    </row>
    <row r="424" spans="4:12" ht="12.75">
      <c r="D424" s="774"/>
      <c r="L424" s="764"/>
    </row>
    <row r="425" spans="4:12" ht="12.75">
      <c r="D425" s="774"/>
      <c r="L425" s="764"/>
    </row>
    <row r="426" spans="4:12" ht="12.75">
      <c r="D426" s="774"/>
      <c r="L426" s="764"/>
    </row>
    <row r="427" spans="4:12" ht="12.75">
      <c r="D427" s="774"/>
      <c r="L427" s="764"/>
    </row>
    <row r="428" spans="4:12" ht="12.75">
      <c r="D428" s="774"/>
      <c r="L428" s="764"/>
    </row>
    <row r="429" spans="4:12" ht="12.75">
      <c r="D429" s="774"/>
      <c r="L429" s="764"/>
    </row>
    <row r="430" spans="4:12" ht="12.75">
      <c r="D430" s="774"/>
      <c r="L430" s="764"/>
    </row>
    <row r="431" spans="4:12" ht="12.75">
      <c r="D431" s="774"/>
      <c r="L431" s="764"/>
    </row>
    <row r="432" spans="4:12" ht="12.75">
      <c r="D432" s="774"/>
      <c r="L432" s="764"/>
    </row>
    <row r="433" spans="4:12" ht="12.75">
      <c r="D433" s="774"/>
      <c r="L433" s="764"/>
    </row>
    <row r="434" spans="4:12" ht="12.75">
      <c r="D434" s="774"/>
      <c r="L434" s="764"/>
    </row>
    <row r="435" spans="4:12" ht="12.75">
      <c r="D435" s="774"/>
      <c r="L435" s="764"/>
    </row>
    <row r="436" spans="4:12" ht="12.75">
      <c r="D436" s="774"/>
      <c r="L436" s="764"/>
    </row>
    <row r="437" spans="4:12" ht="12.75">
      <c r="D437" s="774"/>
      <c r="L437" s="764"/>
    </row>
    <row r="438" spans="4:12" ht="12.75">
      <c r="D438" s="774"/>
      <c r="L438" s="764"/>
    </row>
    <row r="439" spans="4:12" ht="12.75">
      <c r="D439" s="774"/>
      <c r="L439" s="764"/>
    </row>
    <row r="440" spans="4:12" ht="12.75">
      <c r="D440" s="774"/>
      <c r="L440" s="764"/>
    </row>
    <row r="441" spans="4:12" ht="12.75">
      <c r="D441" s="774"/>
      <c r="L441" s="764"/>
    </row>
    <row r="442" spans="4:12" ht="12.75">
      <c r="D442" s="774"/>
      <c r="L442" s="764"/>
    </row>
    <row r="443" spans="4:12" ht="12.75">
      <c r="D443" s="774"/>
      <c r="L443" s="764"/>
    </row>
    <row r="444" spans="4:12" ht="12.75">
      <c r="D444" s="774"/>
      <c r="L444" s="764"/>
    </row>
    <row r="445" spans="4:12" ht="12.75">
      <c r="D445" s="774"/>
      <c r="L445" s="764"/>
    </row>
    <row r="446" spans="4:12" ht="12.75">
      <c r="D446" s="774"/>
      <c r="L446" s="764"/>
    </row>
    <row r="447" spans="4:12" ht="12.75">
      <c r="D447" s="774"/>
      <c r="L447" s="764"/>
    </row>
    <row r="448" spans="4:12" ht="12.75">
      <c r="D448" s="774"/>
      <c r="L448" s="764"/>
    </row>
    <row r="449" spans="4:12" ht="12.75">
      <c r="D449" s="774"/>
      <c r="L449" s="764"/>
    </row>
    <row r="450" spans="4:12" ht="12.75">
      <c r="D450" s="774"/>
      <c r="L450" s="764"/>
    </row>
    <row r="451" spans="4:12" ht="12.75">
      <c r="D451" s="774"/>
      <c r="L451" s="764"/>
    </row>
    <row r="452" spans="4:12" ht="12.75">
      <c r="D452" s="774"/>
      <c r="L452" s="764"/>
    </row>
    <row r="453" ht="12.75">
      <c r="L453" s="764"/>
    </row>
    <row r="454" ht="12.75">
      <c r="L454" s="764"/>
    </row>
    <row r="455" ht="12.75">
      <c r="L455" s="764"/>
    </row>
    <row r="456" ht="12.75">
      <c r="L456" s="764"/>
    </row>
    <row r="457" ht="12.75">
      <c r="L457" s="764"/>
    </row>
    <row r="458" ht="12.75">
      <c r="L458" s="764"/>
    </row>
    <row r="459" ht="12.75">
      <c r="L459" s="764"/>
    </row>
    <row r="460" ht="12.75">
      <c r="L460" s="764"/>
    </row>
    <row r="461" ht="12.75">
      <c r="L461" s="764"/>
    </row>
    <row r="462" ht="12.75">
      <c r="L462" s="764"/>
    </row>
    <row r="463" ht="12.75">
      <c r="L463" s="764"/>
    </row>
    <row r="464" ht="12.75">
      <c r="L464" s="764"/>
    </row>
    <row r="465" ht="12.75">
      <c r="L465" s="764"/>
    </row>
    <row r="466" ht="12.75">
      <c r="L466" s="764"/>
    </row>
    <row r="467" ht="12.75">
      <c r="L467" s="764"/>
    </row>
    <row r="468" ht="12.75">
      <c r="L468" s="764"/>
    </row>
    <row r="469" ht="12.75">
      <c r="L469" s="764"/>
    </row>
    <row r="470" ht="12.75">
      <c r="L470" s="764"/>
    </row>
    <row r="471" ht="12.75">
      <c r="L471" s="764"/>
    </row>
    <row r="472" ht="12.75">
      <c r="L472" s="764"/>
    </row>
    <row r="473" ht="12.75">
      <c r="L473" s="764"/>
    </row>
    <row r="474" ht="12.75">
      <c r="L474" s="764"/>
    </row>
    <row r="475" ht="12.75">
      <c r="L475" s="764"/>
    </row>
    <row r="476" ht="12.75">
      <c r="L476" s="764"/>
    </row>
    <row r="477" ht="12.75">
      <c r="L477" s="764"/>
    </row>
    <row r="478" ht="12.75">
      <c r="L478" s="764"/>
    </row>
    <row r="479" ht="12.75">
      <c r="L479" s="764"/>
    </row>
    <row r="480" ht="12.75">
      <c r="L480" s="764"/>
    </row>
    <row r="481" ht="12.75">
      <c r="L481" s="764"/>
    </row>
    <row r="482" ht="12.75">
      <c r="L482" s="764"/>
    </row>
    <row r="483" ht="12.75">
      <c r="L483" s="764"/>
    </row>
    <row r="484" ht="12.75">
      <c r="L484" s="764"/>
    </row>
    <row r="485" ht="12.75">
      <c r="L485" s="764"/>
    </row>
    <row r="486" ht="12.75">
      <c r="L486" s="764"/>
    </row>
    <row r="487" ht="12.75">
      <c r="L487" s="764"/>
    </row>
    <row r="488" ht="12.75">
      <c r="L488" s="764"/>
    </row>
    <row r="489" ht="12.75">
      <c r="L489" s="764"/>
    </row>
    <row r="490" ht="12.75">
      <c r="L490" s="764"/>
    </row>
    <row r="491" ht="12.75">
      <c r="L491" s="764"/>
    </row>
    <row r="492" ht="12.75">
      <c r="L492" s="764"/>
    </row>
    <row r="493" ht="12.75">
      <c r="L493" s="764"/>
    </row>
    <row r="494" ht="12.75">
      <c r="L494" s="764"/>
    </row>
    <row r="495" ht="12.75">
      <c r="L495" s="764"/>
    </row>
    <row r="496" ht="12.75">
      <c r="L496" s="764"/>
    </row>
    <row r="497" ht="12.75">
      <c r="L497" s="764"/>
    </row>
    <row r="498" ht="12.75">
      <c r="L498" s="764"/>
    </row>
    <row r="499" ht="12.75">
      <c r="L499" s="764"/>
    </row>
    <row r="500" ht="12.75">
      <c r="L500" s="764"/>
    </row>
    <row r="501" ht="12.75">
      <c r="L501" s="764"/>
    </row>
    <row r="502" ht="12.75">
      <c r="L502" s="764"/>
    </row>
    <row r="503" ht="12.75">
      <c r="L503" s="764"/>
    </row>
    <row r="504" ht="12.75">
      <c r="L504" s="764"/>
    </row>
    <row r="505" ht="12.75">
      <c r="L505" s="764"/>
    </row>
    <row r="506" ht="12.75">
      <c r="L506" s="731"/>
    </row>
    <row r="507" ht="12.75">
      <c r="L507" s="731"/>
    </row>
    <row r="508" ht="12.75">
      <c r="L508" s="731"/>
    </row>
    <row r="509" ht="12.75">
      <c r="L509" s="731"/>
    </row>
    <row r="510" ht="12.75">
      <c r="L510" s="731"/>
    </row>
    <row r="511" ht="12.75">
      <c r="L511" s="731"/>
    </row>
    <row r="512" ht="12.75">
      <c r="L512" s="731"/>
    </row>
    <row r="513" ht="12.75">
      <c r="L513" s="731"/>
    </row>
    <row r="514" ht="12.75">
      <c r="L514" s="731"/>
    </row>
    <row r="515" ht="12.75">
      <c r="L515" s="731"/>
    </row>
    <row r="516" ht="12.75">
      <c r="L516" s="731"/>
    </row>
    <row r="517" ht="12.75">
      <c r="L517" s="731"/>
    </row>
    <row r="518" ht="12.75">
      <c r="L518" s="731"/>
    </row>
    <row r="519" ht="12.75">
      <c r="L519" s="731"/>
    </row>
    <row r="520" ht="12.75">
      <c r="L520" s="731"/>
    </row>
    <row r="521" ht="12.75">
      <c r="L521" s="731"/>
    </row>
    <row r="522" ht="12.75">
      <c r="L522" s="731"/>
    </row>
    <row r="523" ht="12.75">
      <c r="L523" s="731"/>
    </row>
    <row r="524" ht="12.75">
      <c r="L524" s="731"/>
    </row>
    <row r="525" ht="12.75">
      <c r="L525" s="731"/>
    </row>
    <row r="526" ht="12.75">
      <c r="L526" s="731"/>
    </row>
    <row r="527" ht="12.75">
      <c r="L527" s="731"/>
    </row>
    <row r="528" ht="12.75">
      <c r="L528" s="731"/>
    </row>
    <row r="529" ht="12.75">
      <c r="L529" s="731"/>
    </row>
    <row r="530" ht="12.75">
      <c r="L530" s="731"/>
    </row>
    <row r="531" ht="12.75">
      <c r="L531" s="731"/>
    </row>
    <row r="532" ht="12.75">
      <c r="L532" s="731"/>
    </row>
    <row r="533" ht="12.75">
      <c r="L533" s="731"/>
    </row>
    <row r="534" ht="12.75">
      <c r="L534" s="731"/>
    </row>
    <row r="535" ht="12.75">
      <c r="L535" s="731"/>
    </row>
    <row r="536" ht="12.75">
      <c r="L536" s="731"/>
    </row>
    <row r="537" ht="12.75">
      <c r="L537" s="731"/>
    </row>
    <row r="538" ht="12.75">
      <c r="L538" s="731"/>
    </row>
    <row r="539" ht="12.75">
      <c r="L539" s="731"/>
    </row>
    <row r="540" ht="12.75">
      <c r="L540" s="731"/>
    </row>
    <row r="541" ht="12.75">
      <c r="L541" s="731"/>
    </row>
    <row r="542" ht="12.75">
      <c r="L542" s="731"/>
    </row>
    <row r="543" ht="12.75">
      <c r="L543" s="731"/>
    </row>
    <row r="544" ht="12.75">
      <c r="L544" s="731"/>
    </row>
    <row r="545" ht="12.75">
      <c r="L545" s="731"/>
    </row>
    <row r="546" ht="12.75">
      <c r="L546" s="731"/>
    </row>
    <row r="547" ht="12.75">
      <c r="L547" s="731"/>
    </row>
    <row r="548" ht="12.75">
      <c r="L548" s="731"/>
    </row>
    <row r="549" ht="12.75">
      <c r="L549" s="731"/>
    </row>
    <row r="550" ht="12.75">
      <c r="L550" s="731"/>
    </row>
    <row r="551" ht="12.75">
      <c r="L551" s="731"/>
    </row>
    <row r="552" ht="12.75">
      <c r="L552" s="731"/>
    </row>
    <row r="553" ht="12.75">
      <c r="L553" s="731"/>
    </row>
    <row r="554" ht="12.75">
      <c r="L554" s="731"/>
    </row>
    <row r="555" ht="12.75">
      <c r="L555" s="731"/>
    </row>
    <row r="556" ht="12.75">
      <c r="L556" s="731"/>
    </row>
    <row r="557" ht="12.75">
      <c r="L557" s="731"/>
    </row>
    <row r="558" ht="12.75">
      <c r="L558" s="731"/>
    </row>
    <row r="559" ht="12.75">
      <c r="L559" s="731"/>
    </row>
    <row r="560" ht="12.75">
      <c r="L560" s="731"/>
    </row>
    <row r="561" ht="12.75">
      <c r="L561" s="731"/>
    </row>
    <row r="562" ht="12.75">
      <c r="L562" s="731"/>
    </row>
    <row r="563" ht="12.75">
      <c r="L563" s="731"/>
    </row>
    <row r="564" ht="12.75">
      <c r="L564" s="731"/>
    </row>
    <row r="565" ht="12.75">
      <c r="L565" s="731"/>
    </row>
    <row r="566" ht="12.75">
      <c r="L566" s="731"/>
    </row>
    <row r="567" ht="12.75">
      <c r="L567" s="731"/>
    </row>
    <row r="568" ht="12.75">
      <c r="L568" s="731"/>
    </row>
    <row r="569" ht="12.75">
      <c r="L569" s="731"/>
    </row>
    <row r="570" ht="12.75">
      <c r="L570" s="731"/>
    </row>
    <row r="571" ht="12.75">
      <c r="L571" s="731"/>
    </row>
    <row r="572" ht="12.75">
      <c r="L572" s="731"/>
    </row>
    <row r="573" ht="12.75">
      <c r="L573" s="731"/>
    </row>
    <row r="574" ht="12.75">
      <c r="L574" s="731"/>
    </row>
    <row r="575" ht="12.75">
      <c r="L575" s="731"/>
    </row>
    <row r="576" ht="12.75">
      <c r="L576" s="731"/>
    </row>
    <row r="577" ht="12.75">
      <c r="L577" s="731"/>
    </row>
    <row r="578" ht="12.75">
      <c r="L578" s="731"/>
    </row>
    <row r="579" ht="12.75">
      <c r="L579" s="731"/>
    </row>
    <row r="580" ht="12.75">
      <c r="L580" s="731"/>
    </row>
    <row r="581" ht="12.75">
      <c r="L581" s="731"/>
    </row>
    <row r="582" ht="12.75">
      <c r="L582" s="731"/>
    </row>
    <row r="583" ht="12.75">
      <c r="L583" s="731"/>
    </row>
    <row r="584" ht="12.75">
      <c r="L584" s="731"/>
    </row>
    <row r="585" ht="12.75">
      <c r="L585" s="731"/>
    </row>
    <row r="586" ht="12.75">
      <c r="L586" s="731"/>
    </row>
    <row r="587" ht="12.75">
      <c r="L587" s="731"/>
    </row>
    <row r="588" ht="12.75">
      <c r="L588" s="731"/>
    </row>
    <row r="589" ht="12.75">
      <c r="L589" s="731"/>
    </row>
    <row r="590" ht="12.75">
      <c r="L590" s="731"/>
    </row>
    <row r="591" ht="12.75">
      <c r="L591" s="731"/>
    </row>
    <row r="592" ht="12.75">
      <c r="L592" s="731"/>
    </row>
    <row r="593" ht="12.75">
      <c r="L593" s="731"/>
    </row>
    <row r="594" ht="12.75">
      <c r="L594" s="731"/>
    </row>
    <row r="595" ht="12.75">
      <c r="L595" s="731"/>
    </row>
    <row r="596" ht="12.75">
      <c r="L596" s="731"/>
    </row>
    <row r="597" ht="12.75">
      <c r="L597" s="731"/>
    </row>
    <row r="598" ht="12.75">
      <c r="L598" s="731"/>
    </row>
    <row r="599" ht="12.75">
      <c r="L599" s="731"/>
    </row>
    <row r="600" ht="12.75">
      <c r="L600" s="731"/>
    </row>
    <row r="601" ht="12.75">
      <c r="L601" s="731"/>
    </row>
    <row r="602" ht="12.75">
      <c r="L602" s="731"/>
    </row>
    <row r="603" ht="12.75">
      <c r="L603" s="731"/>
    </row>
    <row r="604" ht="12.75">
      <c r="L604" s="731"/>
    </row>
    <row r="605" ht="12.75">
      <c r="L605" s="731"/>
    </row>
    <row r="606" ht="12.75">
      <c r="L606" s="731"/>
    </row>
    <row r="607" ht="12.75">
      <c r="L607" s="731"/>
    </row>
    <row r="608" ht="12.75">
      <c r="L608" s="731"/>
    </row>
    <row r="609" ht="12.75">
      <c r="L609" s="731"/>
    </row>
    <row r="610" ht="12.75">
      <c r="L610" s="731"/>
    </row>
    <row r="611" ht="12.75">
      <c r="L611" s="731"/>
    </row>
    <row r="612" ht="12.75">
      <c r="L612" s="731"/>
    </row>
    <row r="613" ht="12.75">
      <c r="L613" s="731"/>
    </row>
    <row r="614" ht="12.75">
      <c r="L614" s="731"/>
    </row>
    <row r="615" ht="12.75">
      <c r="L615" s="731"/>
    </row>
    <row r="616" ht="12.75">
      <c r="L616" s="731"/>
    </row>
    <row r="617" ht="12.75">
      <c r="L617" s="731"/>
    </row>
    <row r="618" ht="12.75">
      <c r="L618" s="731"/>
    </row>
    <row r="619" ht="12.75">
      <c r="L619" s="731"/>
    </row>
    <row r="620" ht="12.75">
      <c r="L620" s="731"/>
    </row>
    <row r="621" ht="12.75">
      <c r="L621" s="731"/>
    </row>
    <row r="622" ht="12.75">
      <c r="L622" s="731"/>
    </row>
    <row r="623" ht="12.75">
      <c r="L623" s="731"/>
    </row>
    <row r="624" ht="12.75">
      <c r="L624" s="731"/>
    </row>
    <row r="625" ht="12.75">
      <c r="L625" s="731"/>
    </row>
    <row r="626" ht="12.75">
      <c r="L626" s="731"/>
    </row>
    <row r="627" ht="12.75">
      <c r="L627" s="731"/>
    </row>
    <row r="628" ht="12.75">
      <c r="L628" s="731"/>
    </row>
    <row r="629" ht="12.75">
      <c r="L629" s="731"/>
    </row>
    <row r="630" ht="12.75">
      <c r="L630" s="731"/>
    </row>
    <row r="631" ht="12.75">
      <c r="L631" s="731"/>
    </row>
    <row r="632" ht="12.75">
      <c r="L632" s="731"/>
    </row>
    <row r="633" ht="12.75">
      <c r="L633" s="731"/>
    </row>
    <row r="634" ht="12.75">
      <c r="L634" s="731"/>
    </row>
    <row r="635" ht="12.75">
      <c r="L635" s="731"/>
    </row>
    <row r="636" ht="12.75">
      <c r="L636" s="731"/>
    </row>
    <row r="637" ht="12.75">
      <c r="L637" s="731"/>
    </row>
    <row r="638" ht="12.75">
      <c r="L638" s="731"/>
    </row>
    <row r="639" ht="12.75">
      <c r="L639" s="731"/>
    </row>
    <row r="640" ht="12.75">
      <c r="L640" s="731"/>
    </row>
    <row r="641" ht="12.75">
      <c r="L641" s="731"/>
    </row>
    <row r="642" ht="12.75">
      <c r="L642" s="731"/>
    </row>
    <row r="643" ht="12.75">
      <c r="L643" s="731"/>
    </row>
    <row r="644" ht="12.75">
      <c r="L644" s="731"/>
    </row>
    <row r="645" ht="12.75">
      <c r="L645" s="731"/>
    </row>
    <row r="646" ht="12.75">
      <c r="L646" s="731"/>
    </row>
    <row r="647" ht="12.75">
      <c r="L647" s="731"/>
    </row>
    <row r="648" ht="12.75">
      <c r="L648" s="731"/>
    </row>
    <row r="649" ht="12.75">
      <c r="L649" s="731"/>
    </row>
    <row r="650" ht="12.75">
      <c r="L650" s="731"/>
    </row>
    <row r="651" ht="12.75">
      <c r="L651" s="731"/>
    </row>
    <row r="652" ht="12.75">
      <c r="L652" s="731"/>
    </row>
    <row r="653" ht="12.75">
      <c r="L653" s="731"/>
    </row>
    <row r="654" ht="12.75">
      <c r="L654" s="731"/>
    </row>
    <row r="655" ht="12.75">
      <c r="L655" s="731"/>
    </row>
    <row r="656" ht="12.75">
      <c r="L656" s="731"/>
    </row>
    <row r="657" ht="12.75">
      <c r="L657" s="731"/>
    </row>
    <row r="658" ht="12.75">
      <c r="L658" s="731"/>
    </row>
    <row r="659" ht="12.75">
      <c r="L659" s="731"/>
    </row>
    <row r="660" ht="12.75">
      <c r="L660" s="731"/>
    </row>
    <row r="661" ht="12.75">
      <c r="L661" s="731"/>
    </row>
    <row r="662" ht="12.75">
      <c r="L662" s="731"/>
    </row>
    <row r="663" ht="12.75">
      <c r="L663" s="731"/>
    </row>
    <row r="664" ht="12.75">
      <c r="L664" s="731"/>
    </row>
    <row r="665" ht="12.75">
      <c r="L665" s="731"/>
    </row>
    <row r="666" ht="12.75">
      <c r="L666" s="731"/>
    </row>
    <row r="667" ht="12.75">
      <c r="L667" s="731"/>
    </row>
    <row r="668" ht="12.75">
      <c r="L668" s="731"/>
    </row>
    <row r="669" ht="12.75">
      <c r="L669" s="731"/>
    </row>
    <row r="670" ht="12.75">
      <c r="L670" s="731"/>
    </row>
    <row r="671" ht="12.75">
      <c r="L671" s="731"/>
    </row>
    <row r="672" ht="12.75">
      <c r="L672" s="731"/>
    </row>
    <row r="673" ht="12.75">
      <c r="L673" s="731"/>
    </row>
    <row r="674" ht="12.75">
      <c r="L674" s="731"/>
    </row>
    <row r="675" ht="12.75">
      <c r="L675" s="731"/>
    </row>
    <row r="676" ht="12.75">
      <c r="L676" s="731"/>
    </row>
    <row r="677" ht="12.75">
      <c r="L677" s="731"/>
    </row>
    <row r="678" ht="12.75">
      <c r="L678" s="731"/>
    </row>
    <row r="679" ht="12.75">
      <c r="L679" s="731"/>
    </row>
    <row r="680" ht="12.75">
      <c r="L680" s="731"/>
    </row>
    <row r="681" ht="12.75">
      <c r="L681" s="731"/>
    </row>
    <row r="682" ht="12.75">
      <c r="L682" s="731"/>
    </row>
    <row r="683" ht="12.75">
      <c r="L683" s="731"/>
    </row>
    <row r="684" ht="12.75">
      <c r="L684" s="731"/>
    </row>
    <row r="685" ht="12.75">
      <c r="L685" s="731"/>
    </row>
    <row r="686" ht="12.75">
      <c r="L686" s="731"/>
    </row>
    <row r="687" ht="12.75">
      <c r="L687" s="731"/>
    </row>
    <row r="688" ht="12.75">
      <c r="L688" s="731"/>
    </row>
    <row r="689" ht="12.75">
      <c r="L689" s="731"/>
    </row>
    <row r="690" ht="12.75">
      <c r="L690" s="731"/>
    </row>
    <row r="691" ht="12.75">
      <c r="L691" s="731"/>
    </row>
    <row r="692" ht="12.75">
      <c r="L692" s="731"/>
    </row>
    <row r="693" ht="12.75">
      <c r="L693" s="731"/>
    </row>
    <row r="694" ht="12.75">
      <c r="L694" s="731"/>
    </row>
    <row r="695" ht="12.75">
      <c r="L695" s="731"/>
    </row>
    <row r="696" ht="12.75">
      <c r="L696" s="731"/>
    </row>
    <row r="697" ht="12.75">
      <c r="L697" s="731"/>
    </row>
    <row r="698" ht="12.75">
      <c r="L698" s="731"/>
    </row>
    <row r="699" ht="12.75">
      <c r="L699" s="731"/>
    </row>
    <row r="700" ht="12.75">
      <c r="L700" s="731"/>
    </row>
    <row r="701" ht="12.75">
      <c r="L701" s="731"/>
    </row>
    <row r="702" ht="12.75">
      <c r="L702" s="731"/>
    </row>
    <row r="703" ht="12.75">
      <c r="L703" s="731"/>
    </row>
    <row r="704" ht="12.75">
      <c r="L704" s="731"/>
    </row>
    <row r="705" ht="12.75">
      <c r="L705" s="731"/>
    </row>
    <row r="706" ht="12.75">
      <c r="L706" s="731"/>
    </row>
    <row r="707" ht="12.75">
      <c r="L707" s="731"/>
    </row>
    <row r="708" ht="12.75">
      <c r="L708" s="731"/>
    </row>
    <row r="709" ht="12.75">
      <c r="L709" s="731"/>
    </row>
    <row r="710" ht="12.75">
      <c r="L710" s="731"/>
    </row>
    <row r="711" ht="12.75">
      <c r="L711" s="731"/>
    </row>
    <row r="712" ht="12.75">
      <c r="L712" s="731"/>
    </row>
    <row r="713" ht="12.75">
      <c r="L713" s="731"/>
    </row>
    <row r="714" ht="12.75">
      <c r="L714" s="731"/>
    </row>
    <row r="715" ht="12.75">
      <c r="L715" s="731"/>
    </row>
    <row r="716" ht="12.75">
      <c r="L716" s="731"/>
    </row>
    <row r="717" ht="12.75">
      <c r="L717" s="731"/>
    </row>
    <row r="718" ht="12.75">
      <c r="L718" s="731"/>
    </row>
    <row r="719" ht="12.75">
      <c r="L719" s="731"/>
    </row>
    <row r="720" ht="12.75">
      <c r="L720" s="731"/>
    </row>
    <row r="721" ht="12.75">
      <c r="L721" s="731"/>
    </row>
    <row r="722" ht="12.75">
      <c r="L722" s="731"/>
    </row>
    <row r="723" ht="12.75">
      <c r="L723" s="731"/>
    </row>
    <row r="724" ht="12.75">
      <c r="L724" s="731"/>
    </row>
    <row r="725" ht="12.75">
      <c r="L725" s="731"/>
    </row>
    <row r="726" ht="12.75">
      <c r="L726" s="731"/>
    </row>
    <row r="727" ht="12.75">
      <c r="L727" s="731"/>
    </row>
    <row r="728" ht="12.75">
      <c r="L728" s="731"/>
    </row>
    <row r="729" ht="12.75">
      <c r="L729" s="731"/>
    </row>
    <row r="730" ht="12.75">
      <c r="L730" s="731"/>
    </row>
    <row r="731" ht="12.75">
      <c r="L731" s="731"/>
    </row>
    <row r="732" ht="12.75">
      <c r="L732" s="731"/>
    </row>
    <row r="733" ht="12.75">
      <c r="L733" s="731"/>
    </row>
    <row r="734" ht="12.75">
      <c r="L734" s="731"/>
    </row>
    <row r="735" ht="12.75">
      <c r="L735" s="731"/>
    </row>
    <row r="736" ht="12.75">
      <c r="L736" s="731"/>
    </row>
    <row r="737" ht="12.75">
      <c r="L737" s="731"/>
    </row>
    <row r="738" ht="12.75">
      <c r="L738" s="731"/>
    </row>
    <row r="739" ht="12.75">
      <c r="L739" s="731"/>
    </row>
    <row r="740" ht="12.75">
      <c r="L740" s="731"/>
    </row>
    <row r="741" ht="12.75">
      <c r="L741" s="731"/>
    </row>
    <row r="742" ht="12.75">
      <c r="L742" s="731"/>
    </row>
    <row r="743" ht="12.75">
      <c r="L743" s="731"/>
    </row>
    <row r="744" ht="12.75">
      <c r="L744" s="731"/>
    </row>
    <row r="745" ht="12.75">
      <c r="L745" s="731"/>
    </row>
    <row r="746" ht="12.75">
      <c r="L746" s="731"/>
    </row>
    <row r="747" ht="12.75">
      <c r="L747" s="731"/>
    </row>
    <row r="748" ht="12.75">
      <c r="L748" s="731"/>
    </row>
    <row r="749" ht="12.75">
      <c r="L749" s="731"/>
    </row>
    <row r="750" ht="12.75">
      <c r="L750" s="731"/>
    </row>
    <row r="751" ht="12.75">
      <c r="L751" s="731"/>
    </row>
    <row r="752" ht="12.75">
      <c r="L752" s="731"/>
    </row>
    <row r="753" ht="12.75">
      <c r="L753" s="731"/>
    </row>
    <row r="754" ht="12.75">
      <c r="L754" s="731"/>
    </row>
    <row r="755" ht="12.75">
      <c r="L755" s="731"/>
    </row>
    <row r="756" ht="12.75">
      <c r="L756" s="731"/>
    </row>
    <row r="757" ht="12.75">
      <c r="L757" s="731"/>
    </row>
    <row r="758" ht="12.75">
      <c r="L758" s="731"/>
    </row>
    <row r="759" ht="12.75">
      <c r="L759" s="731"/>
    </row>
    <row r="760" ht="12.75">
      <c r="L760" s="731"/>
    </row>
    <row r="761" ht="12.75">
      <c r="L761" s="731"/>
    </row>
    <row r="762" ht="12.75">
      <c r="L762" s="731"/>
    </row>
    <row r="763" ht="12.75">
      <c r="L763" s="731"/>
    </row>
    <row r="764" ht="12.75">
      <c r="L764" s="731"/>
    </row>
    <row r="765" ht="12.75">
      <c r="L765" s="731"/>
    </row>
    <row r="766" ht="12.75">
      <c r="L766" s="731"/>
    </row>
    <row r="767" ht="12.75">
      <c r="L767" s="731"/>
    </row>
    <row r="768" ht="12.75">
      <c r="L768" s="731"/>
    </row>
    <row r="769" ht="12.75">
      <c r="L769" s="731"/>
    </row>
    <row r="770" ht="12.75">
      <c r="L770" s="731"/>
    </row>
    <row r="771" ht="12.75">
      <c r="L771" s="731"/>
    </row>
    <row r="772" ht="12.75">
      <c r="L772" s="731"/>
    </row>
    <row r="773" ht="12.75">
      <c r="L773" s="731"/>
    </row>
    <row r="774" ht="12.75">
      <c r="L774" s="731"/>
    </row>
    <row r="775" ht="12.75">
      <c r="L775" s="731"/>
    </row>
    <row r="776" ht="12.75">
      <c r="L776" s="731"/>
    </row>
    <row r="777" ht="12.75">
      <c r="L777" s="731"/>
    </row>
    <row r="778" ht="12.75">
      <c r="L778" s="731"/>
    </row>
    <row r="779" ht="12.75">
      <c r="L779" s="731"/>
    </row>
    <row r="780" ht="12.75">
      <c r="L780" s="731"/>
    </row>
    <row r="781" ht="12.75">
      <c r="L781" s="731"/>
    </row>
    <row r="782" ht="12.75">
      <c r="L782" s="731"/>
    </row>
    <row r="783" ht="12.75">
      <c r="L783" s="731"/>
    </row>
    <row r="784" ht="12.75">
      <c r="L784" s="731"/>
    </row>
    <row r="785" ht="12.75">
      <c r="L785" s="731"/>
    </row>
    <row r="786" ht="12.75">
      <c r="L786" s="731"/>
    </row>
    <row r="787" ht="12.75">
      <c r="L787" s="731"/>
    </row>
    <row r="788" ht="12.75">
      <c r="L788" s="731"/>
    </row>
    <row r="789" ht="12.75">
      <c r="L789" s="731"/>
    </row>
    <row r="790" ht="12.75">
      <c r="L790" s="731"/>
    </row>
    <row r="791" ht="12.75">
      <c r="L791" s="731"/>
    </row>
    <row r="792" ht="12.75">
      <c r="L792" s="731"/>
    </row>
    <row r="793" ht="12.75">
      <c r="L793" s="731"/>
    </row>
    <row r="794" ht="12.75">
      <c r="L794" s="731"/>
    </row>
    <row r="795" ht="12.75">
      <c r="L795" s="731"/>
    </row>
    <row r="796" ht="12.75">
      <c r="L796" s="731"/>
    </row>
    <row r="797" ht="12.75">
      <c r="L797" s="731"/>
    </row>
    <row r="798" ht="12.75">
      <c r="L798" s="731"/>
    </row>
    <row r="799" ht="12.75">
      <c r="L799" s="731"/>
    </row>
    <row r="800" ht="12.75">
      <c r="L800" s="731"/>
    </row>
    <row r="801" ht="12.75">
      <c r="L801" s="731"/>
    </row>
    <row r="802" ht="12.75">
      <c r="L802" s="731"/>
    </row>
    <row r="803" ht="12.75">
      <c r="L803" s="731"/>
    </row>
    <row r="804" ht="12.75">
      <c r="L804" s="731"/>
    </row>
    <row r="805" ht="12.75">
      <c r="L805" s="731"/>
    </row>
    <row r="806" ht="12.75">
      <c r="L806" s="731"/>
    </row>
    <row r="807" ht="12.75">
      <c r="L807" s="731"/>
    </row>
    <row r="808" ht="12.75">
      <c r="L808" s="731"/>
    </row>
    <row r="809" ht="12.75">
      <c r="L809" s="731"/>
    </row>
    <row r="810" ht="12.75">
      <c r="L810" s="731"/>
    </row>
    <row r="811" ht="12.75">
      <c r="L811" s="731"/>
    </row>
    <row r="812" ht="12.75">
      <c r="L812" s="731"/>
    </row>
    <row r="813" ht="12.75">
      <c r="L813" s="731"/>
    </row>
    <row r="814" ht="12.75">
      <c r="L814" s="731"/>
    </row>
    <row r="815" ht="12.75">
      <c r="L815" s="731"/>
    </row>
    <row r="816" ht="12.75">
      <c r="L816" s="731"/>
    </row>
    <row r="817" ht="12.75">
      <c r="L817" s="731"/>
    </row>
    <row r="818" ht="12.75">
      <c r="L818" s="731"/>
    </row>
    <row r="819" ht="12.75">
      <c r="L819" s="731"/>
    </row>
    <row r="820" ht="12.75">
      <c r="L820" s="731"/>
    </row>
    <row r="821" ht="12.75">
      <c r="L821" s="731"/>
    </row>
    <row r="822" ht="12.75">
      <c r="L822" s="731"/>
    </row>
    <row r="823" ht="12.75">
      <c r="L823" s="731"/>
    </row>
    <row r="824" ht="12.75">
      <c r="L824" s="731"/>
    </row>
    <row r="825" ht="12.75">
      <c r="L825" s="731"/>
    </row>
    <row r="826" ht="12.75">
      <c r="L826" s="731"/>
    </row>
    <row r="827" ht="12.75">
      <c r="L827" s="731"/>
    </row>
    <row r="828" ht="12.75">
      <c r="L828" s="731"/>
    </row>
    <row r="829" ht="12.75">
      <c r="L829" s="731"/>
    </row>
    <row r="830" ht="12.75">
      <c r="L830" s="731"/>
    </row>
    <row r="831" ht="12.75">
      <c r="L831" s="731"/>
    </row>
    <row r="832" ht="12.75">
      <c r="L832" s="731"/>
    </row>
    <row r="833" ht="12.75">
      <c r="L833" s="731"/>
    </row>
    <row r="834" ht="12.75">
      <c r="L834" s="731"/>
    </row>
    <row r="835" ht="12.75">
      <c r="L835" s="731"/>
    </row>
    <row r="836" ht="12.75">
      <c r="L836" s="731"/>
    </row>
    <row r="837" ht="12.75">
      <c r="L837" s="731"/>
    </row>
    <row r="838" ht="12.75">
      <c r="L838" s="731"/>
    </row>
    <row r="839" ht="12.75">
      <c r="L839" s="731"/>
    </row>
    <row r="840" ht="12.75">
      <c r="L840" s="731"/>
    </row>
    <row r="841" ht="12.75">
      <c r="L841" s="731"/>
    </row>
    <row r="842" ht="12.75">
      <c r="L842" s="731"/>
    </row>
    <row r="843" ht="12.75">
      <c r="L843" s="731"/>
    </row>
  </sheetData>
  <sheetProtection sheet="1" insertRows="0"/>
  <mergeCells count="1">
    <mergeCell ref="G2:H2"/>
  </mergeCells>
  <conditionalFormatting sqref="J360:J501">
    <cfRule type="cellIs" priority="1" dxfId="13" operator="greaterThan" stopIfTrue="1">
      <formula>K360*1.2</formula>
    </cfRule>
  </conditionalFormatting>
  <conditionalFormatting sqref="J28:J359">
    <cfRule type="cellIs" priority="3" dxfId="9" operator="greaterThan" stopIfTrue="1">
      <formula>K28*1.2</formula>
    </cfRule>
  </conditionalFormatting>
  <dataValidations count="4">
    <dataValidation type="list" allowBlank="1" showInputMessage="1" showErrorMessage="1" sqref="N2:N25">
      <formula1>$R$17:$R$18</formula1>
    </dataValidation>
    <dataValidation type="list" allowBlank="1" showInputMessage="1" showErrorMessage="1" sqref="D28:D359">
      <formula1>$R$2:$R$13</formula1>
    </dataValidation>
    <dataValidation type="list" allowBlank="1" showInputMessage="1" showErrorMessage="1" sqref="O2:O25">
      <formula1>$R$17:$R$19</formula1>
    </dataValidation>
    <dataValidation type="list" allowBlank="1" showInputMessage="1" showErrorMessage="1" sqref="C15">
      <formula1>$T$17:$T$18</formula1>
    </dataValidation>
  </dataValidations>
  <printOptions gridLines="1"/>
  <pageMargins left="0.25" right="0.25" top="0.58" bottom="1" header="0.5" footer="0.5"/>
  <pageSetup horizontalDpi="600" verticalDpi="600" orientation="landscape" r:id="rId3"/>
  <legacyDrawing r:id="rId2"/>
</worksheet>
</file>

<file path=xl/worksheets/sheet13.xml><?xml version="1.0" encoding="utf-8"?>
<worksheet xmlns="http://schemas.openxmlformats.org/spreadsheetml/2006/main" xmlns:r="http://schemas.openxmlformats.org/officeDocument/2006/relationships">
  <sheetPr>
    <tabColor indexed="60"/>
  </sheetPr>
  <dimension ref="A1:P34"/>
  <sheetViews>
    <sheetView zoomScalePageLayoutView="0" workbookViewId="0" topLeftCell="A1">
      <selection activeCell="G53" sqref="G53"/>
    </sheetView>
  </sheetViews>
  <sheetFormatPr defaultColWidth="9.140625" defaultRowHeight="12.75"/>
  <cols>
    <col min="1" max="1" width="2.57421875" style="724" customWidth="1"/>
    <col min="2" max="2" width="29.421875" style="724" customWidth="1"/>
    <col min="3" max="4" width="9.140625" style="724" customWidth="1"/>
    <col min="5" max="5" width="10.8515625" style="724" customWidth="1"/>
    <col min="6" max="6" width="10.57421875" style="724" customWidth="1"/>
    <col min="7" max="7" width="13.00390625" style="724" customWidth="1"/>
    <col min="8" max="8" width="6.8515625" style="724" customWidth="1"/>
    <col min="9" max="13" width="9.140625" style="724" customWidth="1"/>
    <col min="14" max="14" width="5.28125" style="724" customWidth="1"/>
    <col min="15" max="15" width="5.7109375" style="724" customWidth="1"/>
    <col min="16" max="16384" width="9.140625" style="724" customWidth="1"/>
  </cols>
  <sheetData>
    <row r="1" spans="1:7" ht="18" customHeight="1">
      <c r="A1" s="81"/>
      <c r="B1" s="82" t="s">
        <v>247</v>
      </c>
      <c r="C1" s="81"/>
      <c r="D1" s="81"/>
      <c r="E1" s="81"/>
      <c r="F1" s="81"/>
      <c r="G1" s="81"/>
    </row>
    <row r="2" spans="1:13" ht="12.75">
      <c r="A2" s="81">
        <v>1</v>
      </c>
      <c r="B2" s="467" t="s">
        <v>86</v>
      </c>
      <c r="C2" s="467"/>
      <c r="D2" s="467"/>
      <c r="E2" s="467"/>
      <c r="F2" s="467"/>
      <c r="G2" s="495"/>
      <c r="H2" s="1"/>
      <c r="I2" s="1"/>
      <c r="J2" s="1"/>
      <c r="K2" s="1"/>
      <c r="L2" s="1"/>
      <c r="M2" s="1"/>
    </row>
    <row r="3" spans="1:13" ht="12.75">
      <c r="A3" s="81">
        <v>2</v>
      </c>
      <c r="B3" s="468" t="s">
        <v>651</v>
      </c>
      <c r="C3" s="469"/>
      <c r="D3" s="469"/>
      <c r="E3" s="469"/>
      <c r="F3" s="469"/>
      <c r="G3" s="495"/>
      <c r="H3" s="1"/>
      <c r="I3" s="1"/>
      <c r="J3" s="1"/>
      <c r="K3" s="1"/>
      <c r="L3" s="1"/>
      <c r="M3" s="1"/>
    </row>
    <row r="4" spans="1:13" ht="12.75">
      <c r="A4" s="81">
        <v>3</v>
      </c>
      <c r="B4" s="710" t="s">
        <v>804</v>
      </c>
      <c r="C4" s="495"/>
      <c r="D4" s="495"/>
      <c r="E4" s="495"/>
      <c r="F4" s="495"/>
      <c r="G4" s="495"/>
      <c r="H4" s="1"/>
      <c r="I4" s="1"/>
      <c r="J4" s="1"/>
      <c r="K4" s="1"/>
      <c r="L4" s="1"/>
      <c r="M4" s="1"/>
    </row>
    <row r="5" spans="1:7" ht="12.75">
      <c r="A5" s="81">
        <v>4</v>
      </c>
      <c r="B5" s="83" t="s">
        <v>710</v>
      </c>
      <c r="C5" s="81"/>
      <c r="D5" s="81"/>
      <c r="E5" s="81"/>
      <c r="F5" s="81"/>
      <c r="G5" s="81"/>
    </row>
    <row r="6" spans="1:7" ht="12.75">
      <c r="A6" s="81">
        <v>5</v>
      </c>
      <c r="B6" s="83" t="s">
        <v>13</v>
      </c>
      <c r="C6" s="81"/>
      <c r="D6" s="81"/>
      <c r="E6" s="81"/>
      <c r="F6" s="81"/>
      <c r="G6" s="81"/>
    </row>
    <row r="7" spans="1:7" ht="12.75">
      <c r="A7" s="81"/>
      <c r="B7" s="82" t="s">
        <v>169</v>
      </c>
      <c r="C7" s="81"/>
      <c r="D7" s="81"/>
      <c r="E7" s="81"/>
      <c r="F7" s="81"/>
      <c r="G7" s="81"/>
    </row>
    <row r="8" spans="1:7" ht="12.75">
      <c r="A8" s="81"/>
      <c r="B8" s="81"/>
      <c r="C8" s="81"/>
      <c r="D8" s="81"/>
      <c r="E8" s="81"/>
      <c r="F8" s="81"/>
      <c r="G8" s="81"/>
    </row>
    <row r="9" spans="1:7" ht="38.25">
      <c r="A9" s="81"/>
      <c r="B9" s="1248" t="s">
        <v>87</v>
      </c>
      <c r="C9" s="601" t="s">
        <v>88</v>
      </c>
      <c r="D9" s="602" t="s">
        <v>89</v>
      </c>
      <c r="E9" s="602" t="s">
        <v>648</v>
      </c>
      <c r="F9" s="602" t="s">
        <v>649</v>
      </c>
      <c r="G9" s="81"/>
    </row>
    <row r="10" spans="1:7" ht="13.5" thickBot="1">
      <c r="A10" s="81"/>
      <c r="B10" s="1249"/>
      <c r="C10" s="601" t="s">
        <v>90</v>
      </c>
      <c r="D10" s="603" t="s">
        <v>207</v>
      </c>
      <c r="E10" s="602" t="s">
        <v>208</v>
      </c>
      <c r="F10" s="603" t="s">
        <v>208</v>
      </c>
      <c r="G10" s="81"/>
    </row>
    <row r="11" spans="1:7" ht="13.5" thickBot="1">
      <c r="A11" s="81"/>
      <c r="B11" s="509" t="s">
        <v>209</v>
      </c>
      <c r="C11" s="604">
        <v>0.15</v>
      </c>
      <c r="D11" s="614"/>
      <c r="E11" s="615">
        <f>D11*C11</f>
        <v>0</v>
      </c>
      <c r="F11" s="616"/>
      <c r="G11" s="81"/>
    </row>
    <row r="12" spans="1:7" ht="13.5" thickBot="1">
      <c r="A12" s="81"/>
      <c r="B12" s="509" t="s">
        <v>210</v>
      </c>
      <c r="C12" s="604">
        <v>0.2</v>
      </c>
      <c r="D12" s="614"/>
      <c r="E12" s="615">
        <f>D12*C12</f>
        <v>0</v>
      </c>
      <c r="F12" s="616"/>
      <c r="G12" s="81"/>
    </row>
    <row r="13" spans="1:7" ht="13.5" thickBot="1">
      <c r="A13" s="81"/>
      <c r="B13" s="509" t="s">
        <v>211</v>
      </c>
      <c r="C13" s="604">
        <v>1</v>
      </c>
      <c r="D13" s="614"/>
      <c r="E13" s="615">
        <f>D13*C13</f>
        <v>0</v>
      </c>
      <c r="F13" s="616"/>
      <c r="G13" s="81"/>
    </row>
    <row r="14" spans="1:7" ht="13.5" thickBot="1">
      <c r="A14" s="81"/>
      <c r="B14" s="509" t="s">
        <v>212</v>
      </c>
      <c r="C14" s="604">
        <v>1.25</v>
      </c>
      <c r="D14" s="614"/>
      <c r="E14" s="615">
        <f>D14*C14</f>
        <v>0</v>
      </c>
      <c r="F14" s="616"/>
      <c r="G14" s="81"/>
    </row>
    <row r="15" spans="1:7" ht="13.5" thickBot="1">
      <c r="A15" s="81"/>
      <c r="B15" s="509" t="s">
        <v>213</v>
      </c>
      <c r="C15" s="604">
        <v>0.2</v>
      </c>
      <c r="D15" s="614"/>
      <c r="E15" s="615">
        <f>D15*C15</f>
        <v>0</v>
      </c>
      <c r="F15" s="616"/>
      <c r="G15" s="83" t="s">
        <v>715</v>
      </c>
    </row>
    <row r="16" spans="1:7" ht="12.75">
      <c r="A16" s="81"/>
      <c r="B16" s="495"/>
      <c r="C16" s="495"/>
      <c r="D16" s="558"/>
      <c r="E16" s="558"/>
      <c r="F16" s="81"/>
      <c r="G16" s="83" t="s">
        <v>714</v>
      </c>
    </row>
    <row r="17" spans="1:6" ht="38.25">
      <c r="A17" s="81"/>
      <c r="B17" s="606" t="s">
        <v>87</v>
      </c>
      <c r="C17" s="601" t="s">
        <v>214</v>
      </c>
      <c r="D17" s="602" t="s">
        <v>215</v>
      </c>
      <c r="E17" s="602" t="s">
        <v>648</v>
      </c>
      <c r="F17" s="602" t="s">
        <v>649</v>
      </c>
    </row>
    <row r="18" spans="1:6" ht="26.25" customHeight="1" thickBot="1">
      <c r="A18" s="81"/>
      <c r="B18" s="606"/>
      <c r="C18" s="601" t="s">
        <v>216</v>
      </c>
      <c r="D18" s="603" t="s">
        <v>217</v>
      </c>
      <c r="E18" s="602" t="s">
        <v>208</v>
      </c>
      <c r="F18" s="603" t="s">
        <v>208</v>
      </c>
    </row>
    <row r="19" spans="1:6" ht="13.5" thickBot="1">
      <c r="A19" s="81"/>
      <c r="B19" s="509" t="s">
        <v>218</v>
      </c>
      <c r="C19" s="604">
        <v>1</v>
      </c>
      <c r="D19" s="614"/>
      <c r="E19" s="615">
        <f>D19*C19</f>
        <v>0</v>
      </c>
      <c r="F19" s="616"/>
    </row>
    <row r="20" spans="1:6" ht="13.5" thickBot="1">
      <c r="A20" s="81"/>
      <c r="B20" s="509" t="s">
        <v>221</v>
      </c>
      <c r="C20" s="604">
        <v>30</v>
      </c>
      <c r="D20" s="614"/>
      <c r="E20" s="615">
        <f>D20*C20</f>
        <v>0</v>
      </c>
      <c r="F20" s="616"/>
    </row>
    <row r="21" spans="1:6" ht="13.5" thickBot="1">
      <c r="A21" s="81"/>
      <c r="B21" s="509" t="s">
        <v>222</v>
      </c>
      <c r="C21" s="604">
        <v>20</v>
      </c>
      <c r="D21" s="614"/>
      <c r="E21" s="615">
        <f>D21*C21</f>
        <v>0</v>
      </c>
      <c r="F21" s="616"/>
    </row>
    <row r="22" spans="1:8" ht="13.5" thickBot="1">
      <c r="A22" s="81"/>
      <c r="B22" s="509" t="s">
        <v>223</v>
      </c>
      <c r="C22" s="604">
        <v>5</v>
      </c>
      <c r="D22" s="614"/>
      <c r="E22" s="605">
        <f>D22*C22</f>
        <v>0</v>
      </c>
      <c r="F22" s="81"/>
      <c r="G22" s="787"/>
      <c r="H22" s="756"/>
    </row>
    <row r="23" spans="1:7" ht="12.75">
      <c r="A23" s="81"/>
      <c r="B23" s="81"/>
      <c r="C23" s="607"/>
      <c r="D23" s="81"/>
      <c r="E23" s="81"/>
      <c r="F23" s="81"/>
      <c r="G23" s="787"/>
    </row>
    <row r="24" spans="1:6" ht="12.75">
      <c r="A24" s="81"/>
      <c r="B24" s="608" t="s">
        <v>650</v>
      </c>
      <c r="C24" s="81"/>
      <c r="D24" s="81"/>
      <c r="E24" s="81"/>
      <c r="F24" s="81"/>
    </row>
    <row r="25" spans="1:6" ht="12.75">
      <c r="A25" s="81"/>
      <c r="B25" s="608"/>
      <c r="C25" s="609" t="s">
        <v>241</v>
      </c>
      <c r="D25" s="83" t="s">
        <v>242</v>
      </c>
      <c r="E25" s="81"/>
      <c r="F25" s="81"/>
    </row>
    <row r="26" spans="1:6" ht="12.75">
      <c r="A26" s="81"/>
      <c r="B26" s="610" t="s">
        <v>91</v>
      </c>
      <c r="C26" s="611">
        <f>1.05*(SUM(E11:E14)+SUM(E19:E21))</f>
        <v>0</v>
      </c>
      <c r="D26" s="576">
        <f>SUM(F11:F14)+SUM(F19:F21)</f>
        <v>0</v>
      </c>
      <c r="E26" s="83" t="s">
        <v>646</v>
      </c>
      <c r="F26" s="81"/>
    </row>
    <row r="27" spans="1:16" ht="12.75">
      <c r="A27" s="81"/>
      <c r="B27" s="610" t="s">
        <v>92</v>
      </c>
      <c r="C27" s="611">
        <f>IF(F15&lt;1.05*MAX(E15,E22),D27,1.05*MAX(E15,E22))</f>
        <v>0</v>
      </c>
      <c r="D27" s="576">
        <f>F15</f>
        <v>0</v>
      </c>
      <c r="E27" s="83" t="s">
        <v>646</v>
      </c>
      <c r="F27" s="81"/>
      <c r="H27" s="788"/>
      <c r="I27" s="756"/>
      <c r="O27" s="789"/>
      <c r="P27" s="756"/>
    </row>
    <row r="28" spans="1:6" ht="12.75">
      <c r="A28" s="81"/>
      <c r="B28" s="81"/>
      <c r="C28" s="612">
        <f>SUM(C26:C27)</f>
        <v>0</v>
      </c>
      <c r="D28" s="612">
        <f>SUM(D26:D27)</f>
        <v>0</v>
      </c>
      <c r="E28" s="83" t="s">
        <v>646</v>
      </c>
      <c r="F28" s="81"/>
    </row>
    <row r="29" spans="1:6" ht="12.75">
      <c r="A29" s="81"/>
      <c r="B29" s="613" t="s">
        <v>93</v>
      </c>
      <c r="C29" s="81"/>
      <c r="D29" s="81"/>
      <c r="E29" s="81"/>
      <c r="F29" s="81"/>
    </row>
    <row r="30" spans="1:6" ht="12.75">
      <c r="A30" s="81"/>
      <c r="B30" s="81" t="s">
        <v>94</v>
      </c>
      <c r="C30" s="81"/>
      <c r="D30" s="81"/>
      <c r="E30" s="81"/>
      <c r="F30" s="81"/>
    </row>
    <row r="31" spans="1:6" ht="12.75">
      <c r="A31" s="81"/>
      <c r="B31" s="81" t="s">
        <v>95</v>
      </c>
      <c r="C31" s="81"/>
      <c r="D31" s="81"/>
      <c r="E31" s="81"/>
      <c r="F31" s="81"/>
    </row>
    <row r="32" spans="1:6" ht="12.75">
      <c r="A32" s="81"/>
      <c r="B32" s="81" t="s">
        <v>376</v>
      </c>
      <c r="C32" s="81"/>
      <c r="D32" s="81"/>
      <c r="E32" s="81"/>
      <c r="F32" s="81"/>
    </row>
    <row r="33" spans="1:6" ht="12.75">
      <c r="A33" s="81"/>
      <c r="B33" s="81" t="s">
        <v>377</v>
      </c>
      <c r="C33" s="81"/>
      <c r="D33" s="81"/>
      <c r="E33" s="81"/>
      <c r="F33" s="81"/>
    </row>
    <row r="34" spans="1:6" ht="12.75">
      <c r="A34"/>
      <c r="B34"/>
      <c r="C34"/>
      <c r="D34"/>
      <c r="E34"/>
      <c r="F34"/>
    </row>
  </sheetData>
  <sheetProtection sheet="1" objects="1" scenarios="1"/>
  <mergeCells count="1">
    <mergeCell ref="B9:B10"/>
  </mergeCells>
  <printOptions/>
  <pageMargins left="0.75" right="0.75" top="1" bottom="1" header="0.5" footer="0.5"/>
  <pageSetup horizontalDpi="300" verticalDpi="300" orientation="portrait" r:id="rId1"/>
  <headerFooter alignWithMargins="0">
    <oddHeader>&amp;REMP Simulation Spreadsheet
October 5, 2005</oddHeader>
    <oddFooter>&amp;CTaitem Engineering
Page &amp;P of &amp;N</oddFooter>
  </headerFooter>
</worksheet>
</file>

<file path=xl/worksheets/sheet14.xml><?xml version="1.0" encoding="utf-8"?>
<worksheet xmlns="http://schemas.openxmlformats.org/spreadsheetml/2006/main" xmlns:r="http://schemas.openxmlformats.org/officeDocument/2006/relationships">
  <sheetPr>
    <tabColor indexed="60"/>
  </sheetPr>
  <dimension ref="A1:Q69"/>
  <sheetViews>
    <sheetView zoomScale="90" zoomScaleNormal="90" zoomScalePageLayoutView="0" workbookViewId="0" topLeftCell="A1">
      <selection activeCell="H40" sqref="H40"/>
    </sheetView>
  </sheetViews>
  <sheetFormatPr defaultColWidth="9.140625" defaultRowHeight="12.75"/>
  <cols>
    <col min="1" max="1" width="2.00390625" style="724" bestFit="1" customWidth="1"/>
    <col min="2" max="2" width="53.140625" style="724" customWidth="1"/>
    <col min="3" max="5" width="18.57421875" style="724" customWidth="1"/>
    <col min="6" max="6" width="18.8515625" style="724" customWidth="1"/>
    <col min="7" max="7" width="18.57421875" style="724" customWidth="1"/>
    <col min="8" max="8" width="18.00390625" style="724" customWidth="1"/>
    <col min="9" max="9" width="17.8515625" style="724" customWidth="1"/>
    <col min="10" max="10" width="19.140625" style="724" customWidth="1"/>
    <col min="11" max="15" width="9.140625" style="724" customWidth="1"/>
    <col min="16" max="17" width="9.140625" style="724" hidden="1" customWidth="1"/>
    <col min="18" max="16384" width="9.140625" style="724" customWidth="1"/>
  </cols>
  <sheetData>
    <row r="1" spans="1:11" ht="12.75">
      <c r="A1" s="82"/>
      <c r="B1" s="82" t="s">
        <v>402</v>
      </c>
      <c r="C1" s="495"/>
      <c r="D1" s="495"/>
      <c r="E1" s="81"/>
      <c r="F1" s="81"/>
      <c r="G1" s="81"/>
      <c r="H1" s="81"/>
      <c r="I1" s="81"/>
      <c r="J1" s="81"/>
      <c r="K1"/>
    </row>
    <row r="2" spans="1:11" ht="12.75">
      <c r="A2" s="81">
        <v>1</v>
      </c>
      <c r="B2" s="710" t="s">
        <v>813</v>
      </c>
      <c r="C2" s="495"/>
      <c r="D2" s="495"/>
      <c r="E2" s="81"/>
      <c r="F2" s="81"/>
      <c r="G2" s="81"/>
      <c r="H2" s="81"/>
      <c r="I2" s="81"/>
      <c r="J2" s="81"/>
      <c r="K2"/>
    </row>
    <row r="3" spans="1:11" ht="12.75">
      <c r="A3" s="81">
        <v>2</v>
      </c>
      <c r="B3" s="710" t="s">
        <v>814</v>
      </c>
      <c r="C3" s="495"/>
      <c r="D3" s="495"/>
      <c r="E3" s="81"/>
      <c r="F3" s="81"/>
      <c r="G3" s="81"/>
      <c r="H3" s="81"/>
      <c r="I3" s="81"/>
      <c r="J3" s="81"/>
      <c r="K3"/>
    </row>
    <row r="4" spans="1:11" ht="12.75">
      <c r="A4" s="81">
        <v>3</v>
      </c>
      <c r="B4" s="467" t="s">
        <v>403</v>
      </c>
      <c r="C4" s="495"/>
      <c r="D4" s="495"/>
      <c r="E4" s="81"/>
      <c r="F4" s="81"/>
      <c r="G4" s="81"/>
      <c r="H4" s="81"/>
      <c r="I4" s="81"/>
      <c r="J4" s="81"/>
      <c r="K4"/>
    </row>
    <row r="5" spans="1:11" ht="12.75">
      <c r="A5" s="81">
        <v>4</v>
      </c>
      <c r="B5" s="468" t="s">
        <v>575</v>
      </c>
      <c r="C5" s="495"/>
      <c r="D5" s="495"/>
      <c r="E5" s="81"/>
      <c r="F5" s="81"/>
      <c r="G5" s="81"/>
      <c r="H5" s="81"/>
      <c r="I5" s="81"/>
      <c r="J5" s="81"/>
      <c r="K5"/>
    </row>
    <row r="6" spans="1:11" ht="12.75">
      <c r="A6" s="81">
        <v>5</v>
      </c>
      <c r="B6" s="83" t="s">
        <v>720</v>
      </c>
      <c r="C6" s="495"/>
      <c r="D6" s="495"/>
      <c r="E6" s="81"/>
      <c r="F6" s="81"/>
      <c r="G6" s="81"/>
      <c r="H6" s="81"/>
      <c r="I6" s="81"/>
      <c r="J6" s="81"/>
      <c r="K6"/>
    </row>
    <row r="7" spans="1:11" ht="12.75">
      <c r="A7" s="617">
        <v>6</v>
      </c>
      <c r="B7" s="83" t="s">
        <v>576</v>
      </c>
      <c r="C7" s="495"/>
      <c r="D7" s="495"/>
      <c r="E7" s="81"/>
      <c r="F7" s="81"/>
      <c r="G7" s="81"/>
      <c r="H7" s="81"/>
      <c r="I7" s="81"/>
      <c r="J7" s="81"/>
      <c r="K7"/>
    </row>
    <row r="8" spans="1:11" ht="12.75">
      <c r="A8" s="617">
        <v>7</v>
      </c>
      <c r="B8" s="83" t="s">
        <v>577</v>
      </c>
      <c r="C8" s="495"/>
      <c r="D8" s="495"/>
      <c r="E8" s="81"/>
      <c r="F8" s="81"/>
      <c r="G8" s="81"/>
      <c r="H8" s="81"/>
      <c r="I8" s="81"/>
      <c r="J8" s="81"/>
      <c r="K8"/>
    </row>
    <row r="9" spans="1:11" ht="12.75">
      <c r="A9" s="617">
        <v>8</v>
      </c>
      <c r="B9" s="710" t="s">
        <v>815</v>
      </c>
      <c r="C9" s="81"/>
      <c r="D9" s="81"/>
      <c r="E9" s="81"/>
      <c r="F9" s="81"/>
      <c r="G9" s="81"/>
      <c r="H9" s="81"/>
      <c r="I9" s="81"/>
      <c r="J9" s="81"/>
      <c r="K9"/>
    </row>
    <row r="10" spans="1:11" ht="12.75">
      <c r="A10" s="617">
        <v>9</v>
      </c>
      <c r="B10" s="699" t="s">
        <v>11</v>
      </c>
      <c r="C10" s="699"/>
      <c r="D10" s="81"/>
      <c r="E10" s="81"/>
      <c r="F10" s="81"/>
      <c r="G10" s="81"/>
      <c r="H10" s="81"/>
      <c r="I10" s="81"/>
      <c r="J10" s="81"/>
      <c r="K10"/>
    </row>
    <row r="11" spans="1:17" ht="13.5" thickBot="1">
      <c r="A11" s="617"/>
      <c r="B11" s="509"/>
      <c r="C11" s="618" t="s">
        <v>241</v>
      </c>
      <c r="D11" s="618" t="s">
        <v>242</v>
      </c>
      <c r="E11" s="618" t="s">
        <v>241</v>
      </c>
      <c r="F11" s="618" t="s">
        <v>242</v>
      </c>
      <c r="G11" s="618" t="s">
        <v>241</v>
      </c>
      <c r="H11" s="618" t="s">
        <v>242</v>
      </c>
      <c r="I11" s="618" t="s">
        <v>241</v>
      </c>
      <c r="J11" s="618" t="s">
        <v>242</v>
      </c>
      <c r="K11"/>
      <c r="P11" s="756" t="s">
        <v>669</v>
      </c>
      <c r="Q11" s="724">
        <v>1.2</v>
      </c>
    </row>
    <row r="12" spans="1:17" ht="15.75" thickBot="1">
      <c r="A12" s="619"/>
      <c r="B12" s="620" t="s">
        <v>405</v>
      </c>
      <c r="C12" s="1250" t="s">
        <v>327</v>
      </c>
      <c r="D12" s="1251"/>
      <c r="E12" s="1257" t="s">
        <v>262</v>
      </c>
      <c r="F12" s="1258"/>
      <c r="G12" s="1257" t="s">
        <v>263</v>
      </c>
      <c r="H12" s="1258"/>
      <c r="I12" s="1256"/>
      <c r="J12" s="1253"/>
      <c r="K12"/>
      <c r="P12" s="756" t="s">
        <v>670</v>
      </c>
      <c r="Q12" s="724">
        <v>2.3</v>
      </c>
    </row>
    <row r="13" spans="1:17" ht="13.5" thickBot="1">
      <c r="A13" s="81"/>
      <c r="B13" s="620" t="s">
        <v>170</v>
      </c>
      <c r="C13" s="1252">
        <f>'Basic Info'!C15</f>
        <v>0</v>
      </c>
      <c r="D13" s="1251"/>
      <c r="E13" s="1253"/>
      <c r="F13" s="1253"/>
      <c r="G13" s="1253"/>
      <c r="H13" s="1253"/>
      <c r="I13" s="1253"/>
      <c r="J13" s="1253"/>
      <c r="K13"/>
      <c r="P13" s="725" t="s">
        <v>845</v>
      </c>
      <c r="Q13" s="724">
        <v>2.3</v>
      </c>
    </row>
    <row r="14" spans="1:17" ht="13.5" thickBot="1">
      <c r="A14" s="621"/>
      <c r="B14" s="620" t="s">
        <v>410</v>
      </c>
      <c r="C14" s="1253"/>
      <c r="D14" s="1253"/>
      <c r="E14" s="1253"/>
      <c r="F14" s="1253"/>
      <c r="G14" s="1253"/>
      <c r="H14" s="1253"/>
      <c r="I14" s="1253"/>
      <c r="J14" s="1253"/>
      <c r="K14"/>
      <c r="P14" s="725" t="s">
        <v>849</v>
      </c>
      <c r="Q14" s="756" t="s">
        <v>97</v>
      </c>
    </row>
    <row r="15" spans="1:11" ht="13.5" thickBot="1">
      <c r="A15" s="81"/>
      <c r="B15" s="512" t="s">
        <v>411</v>
      </c>
      <c r="C15" s="1254">
        <f>C13*C14</f>
        <v>0</v>
      </c>
      <c r="D15" s="1255"/>
      <c r="E15" s="1254">
        <f>E13*E14</f>
        <v>0</v>
      </c>
      <c r="F15" s="1255"/>
      <c r="G15" s="1254">
        <f>G13*G14</f>
        <v>0</v>
      </c>
      <c r="H15" s="1255"/>
      <c r="I15" s="1254">
        <f>I13*I14</f>
        <v>0</v>
      </c>
      <c r="J15" s="1255"/>
      <c r="K15"/>
    </row>
    <row r="16" spans="1:16" ht="13.5" thickBot="1">
      <c r="A16" s="81"/>
      <c r="B16" s="698" t="s">
        <v>15</v>
      </c>
      <c r="C16" s="641"/>
      <c r="D16" s="72"/>
      <c r="E16" s="72"/>
      <c r="F16" s="72"/>
      <c r="G16" s="72"/>
      <c r="H16" s="72"/>
      <c r="I16" s="72"/>
      <c r="J16" s="72"/>
      <c r="K16"/>
      <c r="P16" s="724" t="s">
        <v>817</v>
      </c>
    </row>
    <row r="17" spans="1:16" ht="13.5" thickBot="1">
      <c r="A17" s="81"/>
      <c r="B17" s="698" t="s">
        <v>819</v>
      </c>
      <c r="C17" s="641"/>
      <c r="D17" s="72"/>
      <c r="E17" s="72"/>
      <c r="F17" s="72"/>
      <c r="G17" s="72"/>
      <c r="H17" s="72"/>
      <c r="I17" s="72"/>
      <c r="J17" s="72"/>
      <c r="K17"/>
      <c r="P17" s="724" t="s">
        <v>818</v>
      </c>
    </row>
    <row r="18" spans="1:11" ht="13.5" thickBot="1">
      <c r="A18" s="81"/>
      <c r="B18" s="620" t="s">
        <v>412</v>
      </c>
      <c r="C18" s="72"/>
      <c r="D18" s="72"/>
      <c r="E18" s="72"/>
      <c r="F18" s="72"/>
      <c r="G18" s="72"/>
      <c r="H18" s="72"/>
      <c r="I18" s="72"/>
      <c r="J18" s="72"/>
      <c r="K18"/>
    </row>
    <row r="19" spans="1:11" ht="13.5" thickBot="1">
      <c r="A19" s="81"/>
      <c r="B19" s="620" t="s">
        <v>413</v>
      </c>
      <c r="C19" s="497">
        <v>0.1</v>
      </c>
      <c r="D19" s="497">
        <v>0.1</v>
      </c>
      <c r="E19" s="497">
        <v>0.1</v>
      </c>
      <c r="F19" s="497">
        <v>0.1</v>
      </c>
      <c r="G19" s="497">
        <v>0.1</v>
      </c>
      <c r="H19" s="497">
        <v>0.1</v>
      </c>
      <c r="I19" s="497"/>
      <c r="J19" s="497"/>
      <c r="K19"/>
    </row>
    <row r="20" spans="1:11" ht="13.5" thickBot="1">
      <c r="A20" s="81"/>
      <c r="B20" s="512" t="s">
        <v>414</v>
      </c>
      <c r="C20" s="622" t="e">
        <f>(C16+C17)*60*C18/24/C15</f>
        <v>#DIV/0!</v>
      </c>
      <c r="D20" s="622" t="e">
        <f>(D16+D17)*60*D18/24/C15</f>
        <v>#DIV/0!</v>
      </c>
      <c r="E20" s="623" t="e">
        <f>E16*60*E18/24/E15</f>
        <v>#DIV/0!</v>
      </c>
      <c r="F20" s="623" t="e">
        <f>F16*60*F18/24/E15</f>
        <v>#DIV/0!</v>
      </c>
      <c r="G20" s="623" t="e">
        <f>G16*60*G18/24/G15</f>
        <v>#DIV/0!</v>
      </c>
      <c r="H20" s="623" t="e">
        <f>H16*60*H18/24/G15</f>
        <v>#DIV/0!</v>
      </c>
      <c r="I20" s="623" t="e">
        <f>I16*60*I18/24/I15</f>
        <v>#DIV/0!</v>
      </c>
      <c r="J20" s="623" t="e">
        <f>J16*60*J18/24/I15</f>
        <v>#DIV/0!</v>
      </c>
      <c r="K20"/>
    </row>
    <row r="21" spans="1:11" ht="13.5" thickBot="1">
      <c r="A21" s="81"/>
      <c r="B21" s="620" t="s">
        <v>415</v>
      </c>
      <c r="C21" s="72"/>
      <c r="D21" s="72"/>
      <c r="E21" s="72"/>
      <c r="F21" s="72"/>
      <c r="G21" s="72"/>
      <c r="H21" s="72"/>
      <c r="I21" s="72"/>
      <c r="J21" s="72"/>
      <c r="K21"/>
    </row>
    <row r="22" spans="1:11" ht="13.5" thickBot="1">
      <c r="A22" s="624"/>
      <c r="B22" s="620" t="s">
        <v>416</v>
      </c>
      <c r="C22" s="72"/>
      <c r="D22" s="72"/>
      <c r="E22" s="72"/>
      <c r="F22" s="72"/>
      <c r="G22" s="72"/>
      <c r="H22" s="72"/>
      <c r="I22" s="72"/>
      <c r="J22" s="72"/>
      <c r="K22"/>
    </row>
    <row r="23" spans="1:11" ht="13.5" thickBot="1">
      <c r="A23" s="558"/>
      <c r="B23" s="512" t="s">
        <v>417</v>
      </c>
      <c r="C23" s="623" t="e">
        <f>C21*60*C22/24/C15</f>
        <v>#DIV/0!</v>
      </c>
      <c r="D23" s="623" t="e">
        <f>D21*60*D22/24/C15</f>
        <v>#DIV/0!</v>
      </c>
      <c r="E23" s="623" t="e">
        <f>E21*60*E22/24/E15</f>
        <v>#DIV/0!</v>
      </c>
      <c r="F23" s="623" t="e">
        <f>F21*60*F22/24/E15</f>
        <v>#DIV/0!</v>
      </c>
      <c r="G23" s="623" t="e">
        <f>G21*60*G22/24/G15</f>
        <v>#DIV/0!</v>
      </c>
      <c r="H23" s="623" t="e">
        <f>H21*60*H22/24/G15</f>
        <v>#DIV/0!</v>
      </c>
      <c r="I23" s="623" t="e">
        <f>I21*60*I22/24/I15</f>
        <v>#DIV/0!</v>
      </c>
      <c r="J23" s="623" t="e">
        <f>J21*60*J22/24/I15</f>
        <v>#DIV/0!</v>
      </c>
      <c r="K23"/>
    </row>
    <row r="24" spans="1:11" ht="13.5" thickBot="1">
      <c r="A24" s="558"/>
      <c r="B24" s="620" t="s">
        <v>418</v>
      </c>
      <c r="C24" s="497">
        <v>0.35</v>
      </c>
      <c r="D24" s="497">
        <v>0.35</v>
      </c>
      <c r="E24" s="72"/>
      <c r="F24" s="72"/>
      <c r="G24" s="72"/>
      <c r="H24" s="72"/>
      <c r="I24" s="72"/>
      <c r="J24" s="72"/>
      <c r="K24"/>
    </row>
    <row r="25" spans="1:11" ht="12.75">
      <c r="A25" s="81"/>
      <c r="B25" s="512" t="s">
        <v>228</v>
      </c>
      <c r="C25" s="625" t="e">
        <f>MAX(C20,C23,C24)</f>
        <v>#DIV/0!</v>
      </c>
      <c r="D25" s="625" t="e">
        <f aca="true" t="shared" si="0" ref="D25:J25">MAX(D20,D23,D24)</f>
        <v>#DIV/0!</v>
      </c>
      <c r="E25" s="626" t="e">
        <f>MAX(E20,E23,E24)</f>
        <v>#DIV/0!</v>
      </c>
      <c r="F25" s="626" t="e">
        <f t="shared" si="0"/>
        <v>#DIV/0!</v>
      </c>
      <c r="G25" s="626" t="e">
        <f t="shared" si="0"/>
        <v>#DIV/0!</v>
      </c>
      <c r="H25" s="626" t="e">
        <f t="shared" si="0"/>
        <v>#DIV/0!</v>
      </c>
      <c r="I25" s="627" t="e">
        <f t="shared" si="0"/>
        <v>#DIV/0!</v>
      </c>
      <c r="J25" s="627" t="e">
        <f t="shared" si="0"/>
        <v>#DIV/0!</v>
      </c>
      <c r="K25"/>
    </row>
    <row r="26" spans="1:11" ht="12.75">
      <c r="A26" s="83"/>
      <c r="B26" s="512" t="s">
        <v>229</v>
      </c>
      <c r="C26" s="628" t="e">
        <f>C25*C15/60/C13</f>
        <v>#DIV/0!</v>
      </c>
      <c r="D26" s="628" t="e">
        <f>D25*C15/60/C13</f>
        <v>#DIV/0!</v>
      </c>
      <c r="E26" s="628" t="e">
        <f>E25*E15/60/E13</f>
        <v>#DIV/0!</v>
      </c>
      <c r="F26" s="628" t="e">
        <f>F25*E15/60/E13</f>
        <v>#DIV/0!</v>
      </c>
      <c r="G26" s="628" t="e">
        <f>G25*G15/60/G13</f>
        <v>#DIV/0!</v>
      </c>
      <c r="H26" s="628" t="e">
        <f>H25*G15/60/G13</f>
        <v>#DIV/0!</v>
      </c>
      <c r="I26" s="474"/>
      <c r="J26" s="474"/>
      <c r="K26"/>
    </row>
    <row r="27" spans="1:11" ht="12.75">
      <c r="A27" s="81"/>
      <c r="B27" s="629"/>
      <c r="C27" s="630"/>
      <c r="D27" s="630"/>
      <c r="E27" s="630"/>
      <c r="F27" s="630"/>
      <c r="G27" s="630"/>
      <c r="H27" s="631"/>
      <c r="I27" s="81"/>
      <c r="J27" s="81"/>
      <c r="K27"/>
    </row>
    <row r="28" spans="1:11" ht="12.75">
      <c r="A28" s="81"/>
      <c r="B28" s="632" t="s">
        <v>668</v>
      </c>
      <c r="C28" s="642"/>
      <c r="D28" s="509">
        <f>C28</f>
        <v>0</v>
      </c>
      <c r="E28" s="642"/>
      <c r="F28" s="509">
        <f>E28</f>
        <v>0</v>
      </c>
      <c r="G28" s="642"/>
      <c r="H28" s="509">
        <f>G28</f>
        <v>0</v>
      </c>
      <c r="I28" s="81"/>
      <c r="J28" s="81"/>
      <c r="K28"/>
    </row>
    <row r="29" spans="1:11" ht="12.75">
      <c r="A29" s="81"/>
      <c r="B29" s="632" t="s">
        <v>665</v>
      </c>
      <c r="C29" s="474" t="e">
        <f>LOOKUP(C28,P11:P14,Q11:Q14)</f>
        <v>#N/A</v>
      </c>
      <c r="D29" s="643"/>
      <c r="E29" s="474" t="e">
        <f>LOOKUP(E28,R11:R14,S11:S14)</f>
        <v>#N/A</v>
      </c>
      <c r="F29" s="643"/>
      <c r="G29" s="474" t="e">
        <f>LOOKUP(G28,T11:T14,U11:U14)</f>
        <v>#N/A</v>
      </c>
      <c r="H29" s="643"/>
      <c r="I29" s="81"/>
      <c r="J29" s="81"/>
      <c r="K29"/>
    </row>
    <row r="30" spans="1:11" ht="13.5" thickBot="1">
      <c r="A30" s="81"/>
      <c r="B30" s="633" t="s">
        <v>672</v>
      </c>
      <c r="C30" s="634" t="e">
        <f>IF(C28="Rooftop","Enter Info Below",C16/C29)</f>
        <v>#N/A</v>
      </c>
      <c r="D30" s="634" t="e">
        <f>IF(D28="Rooftop","Enter Info Below",D16/D29)</f>
        <v>#DIV/0!</v>
      </c>
      <c r="E30" s="634" t="e">
        <f>IF(E28="Rooftop","Enter Info Below",E16/E29)</f>
        <v>#N/A</v>
      </c>
      <c r="F30" s="634" t="e">
        <f>IF(F28="Rooftop","Enter Info Below",F16/F29)</f>
        <v>#DIV/0!</v>
      </c>
      <c r="G30" s="634" t="e">
        <f>IF(G28="Rooftop","Enter Info Below",G16/G29)</f>
        <v>#N/A</v>
      </c>
      <c r="H30" s="634" t="e">
        <f>IF(H28="Rooftop","Enter Info Below",H16/H29)</f>
        <v>#DIV/0!</v>
      </c>
      <c r="I30" s="81"/>
      <c r="J30" s="81"/>
      <c r="K30"/>
    </row>
    <row r="31" spans="1:11" ht="12.75">
      <c r="A31" s="81"/>
      <c r="B31" s="635" t="s">
        <v>666</v>
      </c>
      <c r="C31" s="644" t="str">
        <f aca="true" t="shared" si="1" ref="C31:H31">IF(C28="Rooftop","","Do not Enter data")</f>
        <v>Do not Enter data</v>
      </c>
      <c r="D31" s="644" t="str">
        <f t="shared" si="1"/>
        <v>Do not Enter data</v>
      </c>
      <c r="E31" s="644" t="str">
        <f t="shared" si="1"/>
        <v>Do not Enter data</v>
      </c>
      <c r="F31" s="644" t="str">
        <f t="shared" si="1"/>
        <v>Do not Enter data</v>
      </c>
      <c r="G31" s="644" t="str">
        <f t="shared" si="1"/>
        <v>Do not Enter data</v>
      </c>
      <c r="H31" s="644" t="str">
        <f t="shared" si="1"/>
        <v>Do not Enter data</v>
      </c>
      <c r="I31" s="81"/>
      <c r="J31" s="81"/>
      <c r="K31"/>
    </row>
    <row r="32" spans="1:11" ht="13.5" thickBot="1">
      <c r="A32" s="81"/>
      <c r="B32" s="633" t="s">
        <v>672</v>
      </c>
      <c r="C32" s="636" t="str">
        <f aca="true" t="shared" si="2" ref="C32:H32">IF(C28="Rooftop",C31*746,"NA")</f>
        <v>NA</v>
      </c>
      <c r="D32" s="636" t="str">
        <f t="shared" si="2"/>
        <v>NA</v>
      </c>
      <c r="E32" s="636" t="str">
        <f t="shared" si="2"/>
        <v>NA</v>
      </c>
      <c r="F32" s="636" t="str">
        <f t="shared" si="2"/>
        <v>NA</v>
      </c>
      <c r="G32" s="636" t="str">
        <f t="shared" si="2"/>
        <v>NA</v>
      </c>
      <c r="H32" s="636" t="str">
        <f t="shared" si="2"/>
        <v>NA</v>
      </c>
      <c r="I32" s="81"/>
      <c r="J32" s="81"/>
      <c r="K32"/>
    </row>
    <row r="33" spans="1:11" ht="12.75">
      <c r="A33" s="81"/>
      <c r="B33" s="637" t="s">
        <v>667</v>
      </c>
      <c r="C33" s="644" t="str">
        <f>IF(C28="Rooftop","","Do not Enter data")</f>
        <v>Do not Enter data</v>
      </c>
      <c r="D33" s="644" t="str">
        <f>IF(D28="Rooftop","","Do not Enter data")</f>
        <v>Do not Enter data</v>
      </c>
      <c r="E33" s="644" t="str">
        <f>IF(E28="Rooftop","","Do not Enter data")</f>
        <v>Do not Enter data</v>
      </c>
      <c r="F33" s="644" t="str">
        <f>IF(F28="Rooftop","","Do not Enter data")</f>
        <v>Do not Enter data</v>
      </c>
      <c r="G33" s="644" t="str">
        <f>IF(G28="Rooftop","","Do not Enter data")</f>
        <v>Do not Enter data</v>
      </c>
      <c r="H33" s="644" t="str">
        <f>IF(H28="Rooftop","","Do not Enter data")</f>
        <v>Do not Enter data</v>
      </c>
      <c r="I33" s="81"/>
      <c r="J33" s="81"/>
      <c r="K33"/>
    </row>
    <row r="34" spans="1:11" ht="12.75">
      <c r="A34" s="81"/>
      <c r="B34" s="632" t="s">
        <v>671</v>
      </c>
      <c r="C34" s="645" t="str">
        <f>IF(C28="Rooftop","","Do not Enter data")</f>
        <v>Do not Enter data</v>
      </c>
      <c r="D34" s="645" t="str">
        <f>IF(D28="Rooftop","","Do not Enter data")</f>
        <v>Do not Enter data</v>
      </c>
      <c r="E34" s="645" t="str">
        <f>IF(E28="Rooftop","","Do not Enter data")</f>
        <v>Do not Enter data</v>
      </c>
      <c r="F34" s="645" t="str">
        <f>IF(F28="Rooftop","","Do not Enter data")</f>
        <v>Do not Enter data</v>
      </c>
      <c r="G34" s="645" t="str">
        <f>IF(G28="Rooftop","","Do not Enter data")</f>
        <v>Do not Enter data</v>
      </c>
      <c r="H34" s="645" t="str">
        <f>IF(H28="Rooftop","","Do not Enter data")</f>
        <v>Do not Enter data</v>
      </c>
      <c r="I34" s="81"/>
      <c r="J34" s="81"/>
      <c r="K34"/>
    </row>
    <row r="35" spans="1:11" ht="13.5" thickBot="1">
      <c r="A35" s="81"/>
      <c r="B35" s="633" t="s">
        <v>672</v>
      </c>
      <c r="C35" s="634" t="str">
        <f aca="true" t="shared" si="3" ref="C35:H35">IF(C28="Rooftop",C33*746/C34,"NA")</f>
        <v>NA</v>
      </c>
      <c r="D35" s="634" t="str">
        <f t="shared" si="3"/>
        <v>NA</v>
      </c>
      <c r="E35" s="634" t="str">
        <f t="shared" si="3"/>
        <v>NA</v>
      </c>
      <c r="F35" s="634" t="str">
        <f t="shared" si="3"/>
        <v>NA</v>
      </c>
      <c r="G35" s="634" t="str">
        <f t="shared" si="3"/>
        <v>NA</v>
      </c>
      <c r="H35" s="634" t="str">
        <f t="shared" si="3"/>
        <v>NA</v>
      </c>
      <c r="I35" s="81"/>
      <c r="J35" s="81"/>
      <c r="K35"/>
    </row>
    <row r="36" spans="1:11" ht="12.75">
      <c r="A36" s="81"/>
      <c r="B36" s="81"/>
      <c r="C36" s="81"/>
      <c r="D36" s="81"/>
      <c r="E36" s="81"/>
      <c r="F36" s="81"/>
      <c r="G36" s="81"/>
      <c r="H36" s="81"/>
      <c r="I36" s="81"/>
      <c r="J36" s="81"/>
      <c r="K36"/>
    </row>
    <row r="37" spans="1:11" ht="12.75">
      <c r="A37" s="81"/>
      <c r="B37" s="640" t="s">
        <v>820</v>
      </c>
      <c r="C37" s="609" t="s">
        <v>298</v>
      </c>
      <c r="D37" s="609" t="s">
        <v>292</v>
      </c>
      <c r="E37" s="715">
        <f>IF(C46="Continuous",MIN(C38,C45)*'DHW Demand'!$K$18,MIN(C39,C45)*'DHW Demand'!$K$18)+IF(D46="Continuous",MIN(D38,D45)*'DHW Demand'!$K$19,MIN(D39,D45)*'DHW Demand'!$K$19)</f>
        <v>0</v>
      </c>
      <c r="F37" s="700" t="s">
        <v>827</v>
      </c>
      <c r="G37"/>
      <c r="H37" s="81"/>
      <c r="I37" s="81"/>
      <c r="J37" s="81"/>
      <c r="K37"/>
    </row>
    <row r="38" spans="1:11" ht="12.75">
      <c r="A38" s="81"/>
      <c r="B38" s="712" t="s">
        <v>821</v>
      </c>
      <c r="C38" s="553">
        <f>1.5*C42</f>
        <v>0</v>
      </c>
      <c r="D38" s="553">
        <f>1.5*20</f>
        <v>30</v>
      </c>
      <c r="E38" s="4"/>
      <c r="F38" s="710"/>
      <c r="G38"/>
      <c r="H38" s="81"/>
      <c r="I38" s="81"/>
      <c r="J38" s="81"/>
      <c r="K38"/>
    </row>
    <row r="39" spans="1:11" ht="12.75">
      <c r="A39" s="81"/>
      <c r="B39" s="712" t="s">
        <v>822</v>
      </c>
      <c r="C39" s="553">
        <f>1.5*100</f>
        <v>150</v>
      </c>
      <c r="D39" s="553">
        <f>1.5*50</f>
        <v>75</v>
      </c>
      <c r="E39" s="551"/>
      <c r="F39" s="81"/>
      <c r="G39"/>
      <c r="H39" s="81"/>
      <c r="I39" s="81"/>
      <c r="J39" s="81"/>
      <c r="K39"/>
    </row>
    <row r="40" spans="1:11" ht="12.75">
      <c r="A40" s="81"/>
      <c r="B40"/>
      <c r="C40" s="81"/>
      <c r="D40" s="81"/>
      <c r="E40" s="551"/>
      <c r="F40" s="81"/>
      <c r="G40"/>
      <c r="H40" s="81"/>
      <c r="I40" s="81"/>
      <c r="J40" s="81"/>
      <c r="K40"/>
    </row>
    <row r="41" spans="1:11" ht="12.75">
      <c r="A41" s="81"/>
      <c r="B41" s="81"/>
      <c r="C41" s="609" t="s">
        <v>298</v>
      </c>
      <c r="D41" s="609" t="s">
        <v>292</v>
      </c>
      <c r="E41" s="715">
        <f>IF(C46="Continuous",C42*'DHW Demand'!$K$18,C43*'DHW Demand'!$K$18)+IF(D46="Continuous",D42*'DHW Demand'!$K$19,D43*'DHW Demand'!$K$19)</f>
        <v>0</v>
      </c>
      <c r="F41" s="700" t="s">
        <v>826</v>
      </c>
      <c r="G41"/>
      <c r="H41" s="81"/>
      <c r="I41" s="81"/>
      <c r="J41" s="81"/>
      <c r="K41"/>
    </row>
    <row r="42" spans="1:11" ht="12.75">
      <c r="A42" s="81"/>
      <c r="B42" s="712" t="s">
        <v>823</v>
      </c>
      <c r="C42" s="639">
        <f>C50</f>
        <v>0</v>
      </c>
      <c r="D42" s="553">
        <v>20</v>
      </c>
      <c r="E42" s="639"/>
      <c r="F42" s="81"/>
      <c r="G42" s="81"/>
      <c r="H42" s="81"/>
      <c r="I42" s="81"/>
      <c r="J42" s="81"/>
      <c r="K42"/>
    </row>
    <row r="43" spans="1:11" ht="12.75">
      <c r="A43" s="81"/>
      <c r="B43" s="712" t="s">
        <v>824</v>
      </c>
      <c r="C43" s="553">
        <v>100</v>
      </c>
      <c r="D43" s="553">
        <v>50</v>
      </c>
      <c r="E43" s="553"/>
      <c r="F43" s="81"/>
      <c r="G43" s="81"/>
      <c r="H43" s="81"/>
      <c r="I43" s="81"/>
      <c r="J43" s="81"/>
      <c r="K43"/>
    </row>
    <row r="44" spans="1:11" ht="12.75">
      <c r="A44" s="81"/>
      <c r="B44" s="638"/>
      <c r="C44" s="553"/>
      <c r="D44" s="553"/>
      <c r="E44" s="553"/>
      <c r="F44" s="81"/>
      <c r="G44" s="81"/>
      <c r="H44" s="81"/>
      <c r="I44" s="81"/>
      <c r="J44" s="81"/>
      <c r="K44"/>
    </row>
    <row r="45" spans="1:11" ht="12.75">
      <c r="A45" s="81"/>
      <c r="B45" s="712" t="s">
        <v>825</v>
      </c>
      <c r="C45" s="646"/>
      <c r="D45" s="646"/>
      <c r="E45" s="553"/>
      <c r="F45" s="81"/>
      <c r="G45" s="81"/>
      <c r="H45" s="81"/>
      <c r="I45" s="81"/>
      <c r="J45" s="81"/>
      <c r="K45"/>
    </row>
    <row r="46" spans="1:11" ht="12.75">
      <c r="A46" s="81"/>
      <c r="B46" s="712" t="s">
        <v>816</v>
      </c>
      <c r="C46" s="718"/>
      <c r="D46" s="718"/>
      <c r="E46" s="553"/>
      <c r="F46" s="81"/>
      <c r="G46" s="81"/>
      <c r="H46" s="81"/>
      <c r="I46" s="81"/>
      <c r="J46" s="81"/>
      <c r="K46"/>
    </row>
    <row r="47" spans="1:11" ht="12.75">
      <c r="A47" s="81"/>
      <c r="B47"/>
      <c r="C47" s="717" t="str">
        <f>IF(C46="Continuous",IF(C45&lt;C42,"Insufficient Ventilation",IF(C45&gt;C38,"Exceeds Baseline","")),IF(C45&lt;C43,"Insufficient Ventilation",""))</f>
        <v>Insufficient Ventilation</v>
      </c>
      <c r="D47" s="717" t="str">
        <f>IF(D46="Continuous",IF(D45&lt;D42,"Insufficient Ventilation",""),IF(D45&lt;D43,"Insufficient Ventilation",""))</f>
        <v>Insufficient Ventilation</v>
      </c>
      <c r="E47" s="710"/>
      <c r="F47" s="81"/>
      <c r="G47" s="81"/>
      <c r="H47" s="81"/>
      <c r="I47" s="81"/>
      <c r="J47" s="81"/>
      <c r="K47"/>
    </row>
    <row r="48" spans="1:11" ht="12.75">
      <c r="A48" s="81"/>
      <c r="B48" s="541" t="s">
        <v>721</v>
      </c>
      <c r="C48" s="642"/>
      <c r="D48" s="81"/>
      <c r="E48" s="81"/>
      <c r="F48" s="81"/>
      <c r="G48" s="81"/>
      <c r="H48" s="81"/>
      <c r="I48" s="81"/>
      <c r="J48" s="81"/>
      <c r="K48"/>
    </row>
    <row r="49" spans="1:11" ht="12.75">
      <c r="A49" s="81"/>
      <c r="B49" s="541" t="s">
        <v>722</v>
      </c>
      <c r="C49" s="642"/>
      <c r="D49" s="81"/>
      <c r="E49" s="81"/>
      <c r="F49" s="81"/>
      <c r="G49" s="81"/>
      <c r="H49" s="81"/>
      <c r="I49" s="81"/>
      <c r="J49" s="81"/>
      <c r="K49"/>
    </row>
    <row r="50" spans="1:11" ht="12.75">
      <c r="A50" s="81"/>
      <c r="B50" s="541" t="s">
        <v>723</v>
      </c>
      <c r="C50" s="477">
        <f>5*C48*C49/60</f>
        <v>0</v>
      </c>
      <c r="D50" s="81"/>
      <c r="E50" s="81"/>
      <c r="F50" s="81"/>
      <c r="G50" s="81"/>
      <c r="H50" s="81"/>
      <c r="I50" s="81"/>
      <c r="J50" s="81"/>
      <c r="K50"/>
    </row>
    <row r="51" spans="1:11" ht="13.5" thickBot="1">
      <c r="A51" s="81"/>
      <c r="B51" s="714"/>
      <c r="C51" s="714"/>
      <c r="D51" s="714"/>
      <c r="E51" s="714"/>
      <c r="F51" s="714"/>
      <c r="G51" s="714"/>
      <c r="H51" s="714"/>
      <c r="I51" s="714"/>
      <c r="J51" s="714"/>
      <c r="K51"/>
    </row>
    <row r="52" spans="1:11" ht="12.75">
      <c r="A52" s="81"/>
      <c r="B52" s="640" t="s">
        <v>724</v>
      </c>
      <c r="C52" s="609" t="s">
        <v>725</v>
      </c>
      <c r="D52" s="609" t="s">
        <v>726</v>
      </c>
      <c r="E52" s="609" t="s">
        <v>727</v>
      </c>
      <c r="F52" s="609" t="s">
        <v>728</v>
      </c>
      <c r="G52" s="609" t="s">
        <v>729</v>
      </c>
      <c r="H52" s="81"/>
      <c r="I52" s="81"/>
      <c r="J52" s="81"/>
      <c r="K52"/>
    </row>
    <row r="53" spans="1:11" ht="12.75">
      <c r="A53" s="81"/>
      <c r="B53" s="541" t="s">
        <v>730</v>
      </c>
      <c r="C53" s="646"/>
      <c r="D53" s="646"/>
      <c r="E53" s="646"/>
      <c r="F53" s="646"/>
      <c r="G53" s="646"/>
      <c r="H53" s="716"/>
      <c r="I53" s="81"/>
      <c r="J53" s="81"/>
      <c r="K53"/>
    </row>
    <row r="54" spans="1:11" ht="12.75">
      <c r="A54" s="81"/>
      <c r="B54" s="711" t="s">
        <v>810</v>
      </c>
      <c r="C54" s="639">
        <f>0.01*C53+7.5*(2)</f>
        <v>15</v>
      </c>
      <c r="D54" s="639">
        <f>0.01*D53+7.5*(2)</f>
        <v>15</v>
      </c>
      <c r="E54" s="639">
        <f>0.01*E53+7.5*(3)</f>
        <v>22.5</v>
      </c>
      <c r="F54" s="639">
        <f>0.01*F53+7.5*(4)</f>
        <v>30</v>
      </c>
      <c r="G54" s="639">
        <f>0.01*G53+7.5*(5)</f>
        <v>37.5</v>
      </c>
      <c r="H54" s="716" t="s">
        <v>829</v>
      </c>
      <c r="I54" s="81"/>
      <c r="J54" s="81"/>
      <c r="K54"/>
    </row>
    <row r="55" spans="1:11" ht="12.75">
      <c r="A55"/>
      <c r="B55" s="712" t="s">
        <v>811</v>
      </c>
      <c r="C55" s="713">
        <f>IF(C56&gt;C54*1.5,C54*1.5,C56)</f>
        <v>0</v>
      </c>
      <c r="D55" s="713">
        <f>IF(D56&gt;D54*1.5,D54*1.5,D56)</f>
        <v>0</v>
      </c>
      <c r="E55" s="713">
        <f>IF(E56&gt;E54*1.5,E54*1.5,E56)</f>
        <v>0</v>
      </c>
      <c r="F55" s="713">
        <f>IF(F56&gt;F54*1.5,F54*1.5,F56)</f>
        <v>0</v>
      </c>
      <c r="G55" s="713">
        <f>IF(G56&gt;G54*1.5,G54*1.5,G56)</f>
        <v>0</v>
      </c>
      <c r="H55" s="716" t="s">
        <v>828</v>
      </c>
      <c r="I55"/>
      <c r="J55"/>
      <c r="K55"/>
    </row>
    <row r="56" spans="1:11" ht="12.75">
      <c r="A56"/>
      <c r="B56" s="712" t="s">
        <v>812</v>
      </c>
      <c r="C56" s="790"/>
      <c r="D56" s="646"/>
      <c r="E56" s="646"/>
      <c r="F56" s="646"/>
      <c r="G56" s="646"/>
      <c r="H56"/>
      <c r="I56"/>
      <c r="J56"/>
      <c r="K56"/>
    </row>
    <row r="57" spans="1:11" ht="12.75">
      <c r="A57"/>
      <c r="B57"/>
      <c r="C57" s="717" t="str">
        <f>IF(C56&gt;C54*1.5,"Exceeds Baseline",IF(C56&lt;C54,"Insufficient Ventilation",""))</f>
        <v>Insufficient Ventilation</v>
      </c>
      <c r="D57" s="717" t="str">
        <f>IF(D56&gt;D54*1.5,"Exceeds Baseline",IF(D56&lt;D54,"Insufficient Ventilation",""))</f>
        <v>Insufficient Ventilation</v>
      </c>
      <c r="E57" s="717" t="str">
        <f>IF(E56&gt;E54*1.5,"Exceeds Baseline",IF(E56&lt;E54,"Insufficient Ventilation",""))</f>
        <v>Insufficient Ventilation</v>
      </c>
      <c r="F57" s="717" t="str">
        <f>IF(F56&gt;F54*1.5,"Exceeds Baseline",IF(F56&lt;F54,"Insufficient Ventilation",""))</f>
        <v>Insufficient Ventilation</v>
      </c>
      <c r="G57" s="717" t="str">
        <f>IF(G56&gt;G54*1.5,"Exceeds Baseline",IF(G56&lt;G54,"Insufficient Ventilation",""))</f>
        <v>Insufficient Ventilation</v>
      </c>
      <c r="H57"/>
      <c r="I57"/>
      <c r="J57"/>
      <c r="K57"/>
    </row>
    <row r="58" spans="1:11" ht="13.5" thickBot="1">
      <c r="A58"/>
      <c r="B58" s="722"/>
      <c r="C58" s="723"/>
      <c r="D58" s="722"/>
      <c r="E58" s="722"/>
      <c r="F58" s="722"/>
      <c r="G58" s="722"/>
      <c r="H58" s="722"/>
      <c r="I58" s="722"/>
      <c r="J58" s="722"/>
      <c r="K58"/>
    </row>
    <row r="59" spans="1:11" ht="12.75">
      <c r="A59"/>
      <c r="B59"/>
      <c r="C59" s="28" t="s">
        <v>404</v>
      </c>
      <c r="D59" s="6" t="s">
        <v>830</v>
      </c>
      <c r="E59" s="6" t="s">
        <v>595</v>
      </c>
      <c r="F59"/>
      <c r="G59"/>
      <c r="H59"/>
      <c r="I59"/>
      <c r="J59"/>
      <c r="K59"/>
    </row>
    <row r="60" spans="1:11" ht="12.75">
      <c r="A60"/>
      <c r="B60" s="720" t="s">
        <v>831</v>
      </c>
      <c r="C60" s="646"/>
      <c r="D60" s="646"/>
      <c r="E60" s="646"/>
      <c r="F60">
        <f>(C60*D60*E60)/24/60</f>
        <v>0</v>
      </c>
      <c r="G60" s="27" t="s">
        <v>834</v>
      </c>
      <c r="H60"/>
      <c r="I60"/>
      <c r="J60"/>
      <c r="K60"/>
    </row>
    <row r="61" spans="1:11" ht="12.75">
      <c r="A61"/>
      <c r="B61"/>
      <c r="C61"/>
      <c r="D61"/>
      <c r="E61"/>
      <c r="F61"/>
      <c r="G61"/>
      <c r="H61"/>
      <c r="I61"/>
      <c r="J61"/>
      <c r="K61"/>
    </row>
    <row r="62" spans="1:11" ht="12.75">
      <c r="A62"/>
      <c r="B62"/>
      <c r="C62" s="28" t="s">
        <v>833</v>
      </c>
      <c r="D62" s="28" t="s">
        <v>404</v>
      </c>
      <c r="E62" s="6" t="s">
        <v>830</v>
      </c>
      <c r="F62" s="6" t="s">
        <v>595</v>
      </c>
      <c r="G62"/>
      <c r="H62"/>
      <c r="I62"/>
      <c r="J62"/>
      <c r="K62"/>
    </row>
    <row r="63" spans="1:11" ht="12.75">
      <c r="A63"/>
      <c r="B63" s="720" t="s">
        <v>832</v>
      </c>
      <c r="C63" s="646"/>
      <c r="D63" s="646"/>
      <c r="E63" s="646"/>
      <c r="F63" s="646"/>
      <c r="G63" s="721">
        <f>(C63*D63*E63*F63)/24/60</f>
        <v>0</v>
      </c>
      <c r="H63"/>
      <c r="I63"/>
      <c r="J63"/>
      <c r="K63"/>
    </row>
    <row r="64" spans="1:11" ht="12.75">
      <c r="A64"/>
      <c r="B64"/>
      <c r="C64" s="646"/>
      <c r="D64" s="646"/>
      <c r="E64" s="646"/>
      <c r="F64" s="646"/>
      <c r="G64" s="721">
        <f>(C64*D64*E64*F64)/24/60</f>
        <v>0</v>
      </c>
      <c r="H64"/>
      <c r="I64"/>
      <c r="J64"/>
      <c r="K64"/>
    </row>
    <row r="65" spans="1:11" ht="12.75">
      <c r="A65"/>
      <c r="B65"/>
      <c r="C65" s="646"/>
      <c r="D65" s="646"/>
      <c r="E65" s="646"/>
      <c r="F65" s="646"/>
      <c r="G65" s="721">
        <f>(C65*D65*E65*F65)/24/60</f>
        <v>0</v>
      </c>
      <c r="H65"/>
      <c r="I65"/>
      <c r="J65"/>
      <c r="K65"/>
    </row>
    <row r="66" spans="1:11" ht="12.75">
      <c r="A66"/>
      <c r="B66"/>
      <c r="C66" s="646"/>
      <c r="D66" s="646"/>
      <c r="E66" s="646"/>
      <c r="F66" s="646"/>
      <c r="G66" s="721">
        <f>(C66*D66*E66*F66)/24/60</f>
        <v>0</v>
      </c>
      <c r="H66"/>
      <c r="I66"/>
      <c r="J66"/>
      <c r="K66"/>
    </row>
    <row r="67" spans="1:11" ht="12.75">
      <c r="A67"/>
      <c r="B67"/>
      <c r="C67" s="646"/>
      <c r="D67" s="646"/>
      <c r="E67" s="646"/>
      <c r="F67" s="646"/>
      <c r="G67"/>
      <c r="H67"/>
      <c r="I67"/>
      <c r="J67"/>
      <c r="K67"/>
    </row>
    <row r="68" spans="1:11" ht="12.75">
      <c r="A68"/>
      <c r="B68"/>
      <c r="C68"/>
      <c r="D68"/>
      <c r="E68"/>
      <c r="F68"/>
      <c r="G68" s="721">
        <f>SUM(G63:G67)</f>
        <v>0</v>
      </c>
      <c r="H68" s="27" t="s">
        <v>835</v>
      </c>
      <c r="I68"/>
      <c r="J68"/>
      <c r="K68"/>
    </row>
    <row r="69" spans="1:11" ht="12.75">
      <c r="A69"/>
      <c r="B69"/>
      <c r="C69"/>
      <c r="D69"/>
      <c r="E69"/>
      <c r="F69"/>
      <c r="G69"/>
      <c r="H69"/>
      <c r="I69"/>
      <c r="J69"/>
      <c r="K69"/>
    </row>
  </sheetData>
  <sheetProtection sheet="1" formatCells="0" formatColumns="0" formatRows="0" insertColumns="0" insertRows="0"/>
  <mergeCells count="16">
    <mergeCell ref="E14:F14"/>
    <mergeCell ref="E15:F15"/>
    <mergeCell ref="G12:H12"/>
    <mergeCell ref="G13:H13"/>
    <mergeCell ref="G14:H14"/>
    <mergeCell ref="G15:H15"/>
    <mergeCell ref="C12:D12"/>
    <mergeCell ref="C13:D13"/>
    <mergeCell ref="C14:D14"/>
    <mergeCell ref="C15:D15"/>
    <mergeCell ref="I12:J12"/>
    <mergeCell ref="I13:J13"/>
    <mergeCell ref="I14:J14"/>
    <mergeCell ref="I15:J15"/>
    <mergeCell ref="E12:F12"/>
    <mergeCell ref="E13:F13"/>
  </mergeCells>
  <conditionalFormatting sqref="C16">
    <cfRule type="cellIs" priority="18" dxfId="9" operator="lessThan" stopIfTrue="1">
      <formula>$E$41</formula>
    </cfRule>
    <cfRule type="cellIs" priority="19" dxfId="9" operator="greaterThan" stopIfTrue="1">
      <formula>$E$37</formula>
    </cfRule>
    <cfRule type="cellIs" priority="20" dxfId="9" operator="greaterThan" stopIfTrue="1">
      <formula>$D$16</formula>
    </cfRule>
  </conditionalFormatting>
  <conditionalFormatting sqref="D39 D43">
    <cfRule type="expression" priority="6" dxfId="1" stopIfTrue="1">
      <formula>IF($D$46="Intermittent",TRUE,FALSE)</formula>
    </cfRule>
    <cfRule type="expression" priority="7" dxfId="0" stopIfTrue="1">
      <formula>IF($D$46="Continuous",TRUE,FALSE)</formula>
    </cfRule>
  </conditionalFormatting>
  <conditionalFormatting sqref="D38 D42">
    <cfRule type="expression" priority="5" dxfId="6" stopIfTrue="1">
      <formula>IF($D$46="",TRUE,FALSE)</formula>
    </cfRule>
    <cfRule type="expression" priority="10" dxfId="0" stopIfTrue="1">
      <formula>IF($D$46="Intermittent",TRUE,FALSE)</formula>
    </cfRule>
    <cfRule type="expression" priority="11" dxfId="1" stopIfTrue="1">
      <formula>IF($D$46="Continuous",TRUE,FALSE)</formula>
    </cfRule>
  </conditionalFormatting>
  <conditionalFormatting sqref="C38 C42">
    <cfRule type="expression" priority="3" dxfId="0" stopIfTrue="1">
      <formula>IF($C$46="Intermittent",TRUE,FALSE)</formula>
    </cfRule>
    <cfRule type="expression" priority="4" dxfId="1" stopIfTrue="1">
      <formula>IF($C$46="Continuous",TRUE,FALSE)</formula>
    </cfRule>
  </conditionalFormatting>
  <conditionalFormatting sqref="C39 C43">
    <cfRule type="expression" priority="1" dxfId="1" stopIfTrue="1">
      <formula>IF($C$46="intermittent",TRUE,FALSE)</formula>
    </cfRule>
    <cfRule type="expression" priority="2" dxfId="0" stopIfTrue="1">
      <formula>IF($C$46="Continuous",TRUE,FALSE)</formula>
    </cfRule>
  </conditionalFormatting>
  <dataValidations count="2">
    <dataValidation type="list" allowBlank="1" showInputMessage="1" showErrorMessage="1" sqref="C28 G28 E28">
      <formula1>$P$11:$P$14</formula1>
    </dataValidation>
    <dataValidation type="list" allowBlank="1" showInputMessage="1" showErrorMessage="1" sqref="C46:D46">
      <formula1>$P$16:$P$17</formula1>
    </dataValidation>
  </dataValidations>
  <printOptions/>
  <pageMargins left="0.7" right="0.7" top="0.75" bottom="0.75" header="0.3" footer="0.3"/>
  <pageSetup horizontalDpi="600" verticalDpi="600" orientation="landscape" r:id="rId3"/>
  <legacyDrawing r:id="rId2"/>
</worksheet>
</file>

<file path=xl/worksheets/sheet15.xml><?xml version="1.0" encoding="utf-8"?>
<worksheet xmlns="http://schemas.openxmlformats.org/spreadsheetml/2006/main" xmlns:r="http://schemas.openxmlformats.org/officeDocument/2006/relationships">
  <sheetPr>
    <tabColor indexed="60"/>
  </sheetPr>
  <dimension ref="A1:M38"/>
  <sheetViews>
    <sheetView zoomScalePageLayoutView="0" workbookViewId="0" topLeftCell="A1">
      <selection activeCell="E37" sqref="E37"/>
    </sheetView>
  </sheetViews>
  <sheetFormatPr defaultColWidth="9.140625" defaultRowHeight="12.75"/>
  <cols>
    <col min="1" max="1" width="2.00390625" style="724" bestFit="1" customWidth="1"/>
    <col min="2" max="2" width="33.7109375" style="724" customWidth="1"/>
    <col min="3" max="3" width="14.28125" style="724" customWidth="1"/>
    <col min="4" max="4" width="12.421875" style="724" customWidth="1"/>
    <col min="5" max="5" width="11.421875" style="724" customWidth="1"/>
    <col min="6" max="11" width="10.00390625" style="724" customWidth="1"/>
    <col min="12" max="16384" width="9.140625" style="724" customWidth="1"/>
  </cols>
  <sheetData>
    <row r="1" spans="1:11" ht="12.75">
      <c r="A1" s="82"/>
      <c r="B1" s="82" t="s">
        <v>402</v>
      </c>
      <c r="C1" s="81"/>
      <c r="D1" s="81"/>
      <c r="E1" s="81"/>
      <c r="F1" s="81"/>
      <c r="G1" s="81"/>
      <c r="H1" s="81"/>
      <c r="I1" s="81"/>
      <c r="J1" s="81"/>
      <c r="K1" s="81"/>
    </row>
    <row r="2" spans="1:11" ht="12.75">
      <c r="A2" s="81">
        <v>1</v>
      </c>
      <c r="B2" s="539" t="s">
        <v>579</v>
      </c>
      <c r="C2" s="495"/>
      <c r="D2" s="495"/>
      <c r="E2" s="495"/>
      <c r="F2" s="81"/>
      <c r="G2" s="81"/>
      <c r="H2" s="81"/>
      <c r="I2" s="81"/>
      <c r="J2" s="81"/>
      <c r="K2" s="81"/>
    </row>
    <row r="3" spans="1:11" ht="12.75">
      <c r="A3" s="81">
        <v>2</v>
      </c>
      <c r="B3" s="539" t="s">
        <v>580</v>
      </c>
      <c r="C3" s="495"/>
      <c r="D3" s="495"/>
      <c r="E3" s="495"/>
      <c r="F3" s="81"/>
      <c r="G3" s="81"/>
      <c r="H3" s="81"/>
      <c r="I3" s="81"/>
      <c r="J3" s="81"/>
      <c r="K3" s="81"/>
    </row>
    <row r="4" spans="1:11" ht="12.75">
      <c r="A4" s="81">
        <v>3</v>
      </c>
      <c r="B4" s="81" t="s">
        <v>251</v>
      </c>
      <c r="C4" s="495"/>
      <c r="D4" s="495"/>
      <c r="E4" s="81"/>
      <c r="F4" s="81"/>
      <c r="G4" s="81"/>
      <c r="H4" s="81"/>
      <c r="I4" s="81"/>
      <c r="J4" s="81"/>
      <c r="K4" s="81"/>
    </row>
    <row r="5" spans="1:11" ht="12.75">
      <c r="A5" s="81">
        <v>4</v>
      </c>
      <c r="B5" s="467" t="s">
        <v>403</v>
      </c>
      <c r="C5" s="495"/>
      <c r="D5" s="495"/>
      <c r="E5" s="81"/>
      <c r="F5" s="81"/>
      <c r="G5" s="81"/>
      <c r="H5" s="81"/>
      <c r="I5" s="81"/>
      <c r="J5" s="81"/>
      <c r="K5" s="81"/>
    </row>
    <row r="6" spans="1:11" ht="12.75">
      <c r="A6" s="81">
        <v>5</v>
      </c>
      <c r="B6" s="468" t="s">
        <v>578</v>
      </c>
      <c r="C6" s="495"/>
      <c r="D6" s="81"/>
      <c r="E6" s="81"/>
      <c r="F6" s="81"/>
      <c r="G6" s="81"/>
      <c r="H6" s="81"/>
      <c r="I6" s="81"/>
      <c r="J6" s="81"/>
      <c r="K6" s="81"/>
    </row>
    <row r="7" spans="1:11" ht="15">
      <c r="A7" s="81"/>
      <c r="B7" s="81"/>
      <c r="C7" s="1260" t="s">
        <v>168</v>
      </c>
      <c r="D7" s="1261"/>
      <c r="E7" s="1260" t="s">
        <v>419</v>
      </c>
      <c r="F7" s="1262"/>
      <c r="G7" s="1262"/>
      <c r="H7" s="1262"/>
      <c r="I7" s="1262"/>
      <c r="J7" s="1262"/>
      <c r="K7" s="1261"/>
    </row>
    <row r="8" spans="1:11" ht="45">
      <c r="A8" s="81"/>
      <c r="B8" s="544"/>
      <c r="C8" s="647" t="s">
        <v>420</v>
      </c>
      <c r="D8" s="647" t="s">
        <v>158</v>
      </c>
      <c r="E8" s="647" t="s">
        <v>158</v>
      </c>
      <c r="F8" s="647" t="s">
        <v>421</v>
      </c>
      <c r="G8" s="647" t="s">
        <v>422</v>
      </c>
      <c r="H8" s="647" t="s">
        <v>423</v>
      </c>
      <c r="I8" s="647" t="s">
        <v>424</v>
      </c>
      <c r="J8" s="647" t="s">
        <v>425</v>
      </c>
      <c r="K8" s="647" t="s">
        <v>426</v>
      </c>
    </row>
    <row r="9" spans="1:11" ht="15.75" thickBot="1">
      <c r="A9" s="81"/>
      <c r="B9" s="544" t="s">
        <v>427</v>
      </c>
      <c r="C9" s="648" t="s">
        <v>428</v>
      </c>
      <c r="D9" s="648" t="s">
        <v>428</v>
      </c>
      <c r="E9" s="1259"/>
      <c r="F9" s="1259"/>
      <c r="G9" s="1259"/>
      <c r="H9" s="1259"/>
      <c r="I9" s="1259"/>
      <c r="J9" s="1259"/>
      <c r="K9" s="1259"/>
    </row>
    <row r="10" spans="1:13" ht="15.75" thickBot="1">
      <c r="A10" s="81"/>
      <c r="B10" s="544" t="s">
        <v>275</v>
      </c>
      <c r="C10" s="649">
        <f>IF(C11&gt;15000,9.305,IF(C11&lt;7000,11.009,12.5-(0.213*C11/1000)))</f>
        <v>11.009</v>
      </c>
      <c r="D10" s="650">
        <f>IF(D11&gt;15000,9.305,IF(D11&lt;7000,11.009,12.5-(0.213*D11/1000)))</f>
        <v>11.009</v>
      </c>
      <c r="E10" s="666"/>
      <c r="F10" s="666"/>
      <c r="G10" s="666"/>
      <c r="H10" s="666"/>
      <c r="I10" s="666"/>
      <c r="J10" s="666"/>
      <c r="K10" s="666"/>
      <c r="M10" s="791"/>
    </row>
    <row r="11" spans="1:13" ht="16.5" customHeight="1" thickBot="1">
      <c r="A11" s="81"/>
      <c r="B11" s="651" t="s">
        <v>429</v>
      </c>
      <c r="C11" s="667"/>
      <c r="D11" s="667"/>
      <c r="E11" s="667"/>
      <c r="F11" s="667"/>
      <c r="G11" s="667"/>
      <c r="H11" s="667"/>
      <c r="I11" s="667"/>
      <c r="J11" s="667"/>
      <c r="K11" s="667"/>
      <c r="M11" s="791"/>
    </row>
    <row r="12" spans="1:11" ht="15.75" thickBot="1">
      <c r="A12" s="81"/>
      <c r="B12" s="544" t="s">
        <v>278</v>
      </c>
      <c r="C12" s="652">
        <f>C11+C17*3.412</f>
        <v>0</v>
      </c>
      <c r="D12" s="653">
        <f>D11+D17*3.412</f>
        <v>0</v>
      </c>
      <c r="E12" s="667"/>
      <c r="F12" s="667"/>
      <c r="G12" s="667"/>
      <c r="H12" s="667"/>
      <c r="I12" s="667"/>
      <c r="J12" s="667"/>
      <c r="K12" s="667"/>
    </row>
    <row r="13" spans="1:11" ht="15.75" thickBot="1">
      <c r="A13" s="81"/>
      <c r="B13" s="654" t="s">
        <v>430</v>
      </c>
      <c r="C13" s="655" t="s">
        <v>97</v>
      </c>
      <c r="D13" s="656" t="s">
        <v>97</v>
      </c>
      <c r="E13" s="668"/>
      <c r="F13" s="668"/>
      <c r="G13" s="668"/>
      <c r="H13" s="668"/>
      <c r="I13" s="668"/>
      <c r="J13" s="668"/>
      <c r="K13" s="668"/>
    </row>
    <row r="14" spans="1:11" ht="15.75" thickBot="1">
      <c r="A14" s="81"/>
      <c r="B14" s="654" t="s">
        <v>431</v>
      </c>
      <c r="C14" s="655" t="s">
        <v>97</v>
      </c>
      <c r="D14" s="656" t="s">
        <v>97</v>
      </c>
      <c r="E14" s="669"/>
      <c r="F14" s="669"/>
      <c r="G14" s="669"/>
      <c r="H14" s="669"/>
      <c r="I14" s="669"/>
      <c r="J14" s="669"/>
      <c r="K14" s="669"/>
    </row>
    <row r="15" spans="1:11" ht="15">
      <c r="A15" s="81"/>
      <c r="B15" s="544" t="s">
        <v>276</v>
      </c>
      <c r="C15" s="657">
        <f>C11/C10/1000</f>
        <v>0</v>
      </c>
      <c r="D15" s="657">
        <f>D11/D10/1000</f>
        <v>0</v>
      </c>
      <c r="E15" s="658">
        <f>IF(E10=0,0,E11/E10/1000)</f>
        <v>0</v>
      </c>
      <c r="F15" s="659">
        <f aca="true" t="shared" si="0" ref="F15:K15">IF(F10=0,0,F11/F10/1000)</f>
        <v>0</v>
      </c>
      <c r="G15" s="659">
        <f t="shared" si="0"/>
        <v>0</v>
      </c>
      <c r="H15" s="659">
        <f t="shared" si="0"/>
        <v>0</v>
      </c>
      <c r="I15" s="659">
        <f t="shared" si="0"/>
        <v>0</v>
      </c>
      <c r="J15" s="659">
        <f t="shared" si="0"/>
        <v>0</v>
      </c>
      <c r="K15" s="659">
        <f t="shared" si="0"/>
        <v>0</v>
      </c>
    </row>
    <row r="16" spans="1:11" ht="15">
      <c r="A16" s="81"/>
      <c r="B16" s="654" t="s">
        <v>404</v>
      </c>
      <c r="C16" s="660">
        <f>C11/12000*400</f>
        <v>0</v>
      </c>
      <c r="D16" s="660">
        <f>D11/12000*400</f>
        <v>0</v>
      </c>
      <c r="E16" s="660">
        <f>E11/12000*400</f>
        <v>0</v>
      </c>
      <c r="F16" s="660">
        <f aca="true" t="shared" si="1" ref="F16:K16">F11/12000*400</f>
        <v>0</v>
      </c>
      <c r="G16" s="660">
        <f t="shared" si="1"/>
        <v>0</v>
      </c>
      <c r="H16" s="660">
        <f t="shared" si="1"/>
        <v>0</v>
      </c>
      <c r="I16" s="660">
        <f t="shared" si="1"/>
        <v>0</v>
      </c>
      <c r="J16" s="660">
        <f t="shared" si="1"/>
        <v>0</v>
      </c>
      <c r="K16" s="660">
        <f t="shared" si="1"/>
        <v>0</v>
      </c>
    </row>
    <row r="17" spans="1:11" ht="15">
      <c r="A17" s="81"/>
      <c r="B17" s="654" t="s">
        <v>277</v>
      </c>
      <c r="C17" s="660">
        <f>C18*C16*1000</f>
        <v>0</v>
      </c>
      <c r="D17" s="660">
        <f>D18*D16*1000</f>
        <v>0</v>
      </c>
      <c r="E17" s="660">
        <f>IF(E14=0,0,E13*746/E14)</f>
        <v>0</v>
      </c>
      <c r="F17" s="660">
        <f aca="true" t="shared" si="2" ref="F17:K17">IF(F14=0,0,F13*746/F14)</f>
        <v>0</v>
      </c>
      <c r="G17" s="660">
        <f t="shared" si="2"/>
        <v>0</v>
      </c>
      <c r="H17" s="660">
        <f t="shared" si="2"/>
        <v>0</v>
      </c>
      <c r="I17" s="660">
        <f t="shared" si="2"/>
        <v>0</v>
      </c>
      <c r="J17" s="660">
        <f t="shared" si="2"/>
        <v>0</v>
      </c>
      <c r="K17" s="660">
        <f t="shared" si="2"/>
        <v>0</v>
      </c>
    </row>
    <row r="18" spans="1:11" ht="15">
      <c r="A18" s="81"/>
      <c r="B18" s="654" t="s">
        <v>279</v>
      </c>
      <c r="C18" s="661">
        <v>0.0003</v>
      </c>
      <c r="D18" s="661">
        <v>0.0003</v>
      </c>
      <c r="E18" s="661">
        <f>IF(E16=0,0,E17/1000/E16)</f>
        <v>0</v>
      </c>
      <c r="F18" s="661">
        <f aca="true" t="shared" si="3" ref="F18:K18">IF(F16=0,0,F17/1000/F16)</f>
        <v>0</v>
      </c>
      <c r="G18" s="661">
        <f t="shared" si="3"/>
        <v>0</v>
      </c>
      <c r="H18" s="661">
        <f t="shared" si="3"/>
        <v>0</v>
      </c>
      <c r="I18" s="661">
        <f t="shared" si="3"/>
        <v>0</v>
      </c>
      <c r="J18" s="661">
        <f t="shared" si="3"/>
        <v>0</v>
      </c>
      <c r="K18" s="661">
        <f t="shared" si="3"/>
        <v>0</v>
      </c>
    </row>
    <row r="19" spans="1:11" ht="15">
      <c r="A19" s="81"/>
      <c r="B19" s="654" t="s">
        <v>432</v>
      </c>
      <c r="C19" s="662" t="e">
        <f>(C15*1000-C17)/C12*3.413</f>
        <v>#DIV/0!</v>
      </c>
      <c r="D19" s="662" t="e">
        <f>(D15*1000-D17)/D12*3.413</f>
        <v>#DIV/0!</v>
      </c>
      <c r="E19" s="663">
        <f>IF(E11+E12+E16=0,0,(E15*1000-E17)/E12*3.413)</f>
        <v>0</v>
      </c>
      <c r="F19" s="663">
        <f aca="true" t="shared" si="4" ref="F19:K19">IF(F11+F12+F16=0,0,(F15*1000-F17)/F12*3.413)</f>
        <v>0</v>
      </c>
      <c r="G19" s="663">
        <f t="shared" si="4"/>
        <v>0</v>
      </c>
      <c r="H19" s="663">
        <f t="shared" si="4"/>
        <v>0</v>
      </c>
      <c r="I19" s="663">
        <f t="shared" si="4"/>
        <v>0</v>
      </c>
      <c r="J19" s="663">
        <f t="shared" si="4"/>
        <v>0</v>
      </c>
      <c r="K19" s="663">
        <f t="shared" si="4"/>
        <v>0</v>
      </c>
    </row>
    <row r="20" spans="1:11" ht="15">
      <c r="A20" s="81"/>
      <c r="B20" s="654" t="s">
        <v>719</v>
      </c>
      <c r="C20" s="81"/>
      <c r="D20" s="83"/>
      <c r="E20" s="663">
        <f>IF(E11+E12+E16=0,0,(E15*1000)/E12*3.413)</f>
        <v>0</v>
      </c>
      <c r="F20" s="663">
        <f aca="true" t="shared" si="5" ref="F20:K20">IF(F11+F12+F16=0,0,(F15*1000)/F12*3.413)</f>
        <v>0</v>
      </c>
      <c r="G20" s="663">
        <f t="shared" si="5"/>
        <v>0</v>
      </c>
      <c r="H20" s="663">
        <f t="shared" si="5"/>
        <v>0</v>
      </c>
      <c r="I20" s="663">
        <f t="shared" si="5"/>
        <v>0</v>
      </c>
      <c r="J20" s="663">
        <f t="shared" si="5"/>
        <v>0</v>
      </c>
      <c r="K20" s="663">
        <f t="shared" si="5"/>
        <v>0</v>
      </c>
    </row>
    <row r="21" spans="1:11" ht="12.75">
      <c r="A21" s="81"/>
      <c r="B21" s="81"/>
      <c r="C21" s="81"/>
      <c r="D21" s="81"/>
      <c r="E21" s="81"/>
      <c r="F21" s="81"/>
      <c r="G21" s="81"/>
      <c r="H21" s="81"/>
      <c r="I21" s="81"/>
      <c r="J21" s="81"/>
      <c r="K21" s="81"/>
    </row>
    <row r="22" spans="1:11" ht="12.75">
      <c r="A22" s="81"/>
      <c r="B22" s="81"/>
      <c r="C22" s="81"/>
      <c r="D22" s="81"/>
      <c r="E22" s="81"/>
      <c r="F22" s="81"/>
      <c r="G22" s="81"/>
      <c r="H22" s="81"/>
      <c r="I22" s="81"/>
      <c r="J22" s="81"/>
      <c r="K22" s="81"/>
    </row>
    <row r="23" spans="1:11" ht="15">
      <c r="A23" s="81"/>
      <c r="B23" s="81"/>
      <c r="C23" s="1260" t="s">
        <v>168</v>
      </c>
      <c r="D23" s="1261"/>
      <c r="E23" s="1260" t="s">
        <v>419</v>
      </c>
      <c r="F23" s="1262"/>
      <c r="G23" s="1262"/>
      <c r="H23" s="1262"/>
      <c r="I23" s="1262"/>
      <c r="J23" s="1262"/>
      <c r="K23" s="1261"/>
    </row>
    <row r="24" spans="1:11" ht="45">
      <c r="A24" s="81"/>
      <c r="B24" s="544"/>
      <c r="C24" s="647" t="s">
        <v>420</v>
      </c>
      <c r="D24" s="647" t="s">
        <v>158</v>
      </c>
      <c r="E24" s="647" t="s">
        <v>158</v>
      </c>
      <c r="F24" s="647" t="s">
        <v>421</v>
      </c>
      <c r="G24" s="647" t="s">
        <v>422</v>
      </c>
      <c r="H24" s="647" t="s">
        <v>423</v>
      </c>
      <c r="I24" s="647" t="s">
        <v>424</v>
      </c>
      <c r="J24" s="647" t="s">
        <v>425</v>
      </c>
      <c r="K24" s="647" t="s">
        <v>426</v>
      </c>
    </row>
    <row r="25" spans="1:11" ht="15.75" thickBot="1">
      <c r="A25" s="81"/>
      <c r="B25" s="544" t="s">
        <v>427</v>
      </c>
      <c r="C25" s="648" t="s">
        <v>29</v>
      </c>
      <c r="D25" s="648" t="s">
        <v>29</v>
      </c>
      <c r="E25" s="1259"/>
      <c r="F25" s="1259"/>
      <c r="G25" s="1259"/>
      <c r="H25" s="1259"/>
      <c r="I25" s="1259"/>
      <c r="J25" s="1259"/>
      <c r="K25" s="1259"/>
    </row>
    <row r="26" spans="1:11" ht="15.75" thickBot="1">
      <c r="A26" s="81"/>
      <c r="B26" s="544" t="s">
        <v>860</v>
      </c>
      <c r="C26" s="649">
        <f>IF(C27&gt;15000,9.105,IF(C27&lt;7000,10.809,12.3-(0.213*C27/1000)))</f>
        <v>10.809</v>
      </c>
      <c r="D26" s="650">
        <f>IF(D27&gt;15000,9.105,IF(D27&lt;7000,10.809,12.3-(0.213*D27/1000)))</f>
        <v>10.809</v>
      </c>
      <c r="E26" s="666"/>
      <c r="F26" s="666"/>
      <c r="G26" s="666"/>
      <c r="H26" s="666"/>
      <c r="I26" s="666"/>
      <c r="J26" s="666"/>
      <c r="K26" s="666"/>
    </row>
    <row r="27" spans="1:11" ht="15.75" thickBot="1">
      <c r="A27" s="81"/>
      <c r="B27" s="651" t="s">
        <v>429</v>
      </c>
      <c r="C27" s="667"/>
      <c r="D27" s="667"/>
      <c r="E27" s="667"/>
      <c r="F27" s="667"/>
      <c r="G27" s="667"/>
      <c r="H27" s="667"/>
      <c r="I27" s="667"/>
      <c r="J27" s="667"/>
      <c r="K27" s="667"/>
    </row>
    <row r="28" spans="1:11" ht="15.75" thickBot="1">
      <c r="A28" s="81"/>
      <c r="B28" s="544" t="s">
        <v>278</v>
      </c>
      <c r="C28" s="652">
        <f>C27+C33*3.412</f>
        <v>0</v>
      </c>
      <c r="D28" s="653">
        <f>D27+D33*3.412</f>
        <v>0</v>
      </c>
      <c r="E28" s="667"/>
      <c r="F28" s="667"/>
      <c r="G28" s="667"/>
      <c r="H28" s="667"/>
      <c r="I28" s="667"/>
      <c r="J28" s="667"/>
      <c r="K28" s="667"/>
    </row>
    <row r="29" spans="1:11" ht="15.75" thickBot="1">
      <c r="A29" s="81"/>
      <c r="B29" s="654" t="s">
        <v>430</v>
      </c>
      <c r="C29" s="655" t="s">
        <v>97</v>
      </c>
      <c r="D29" s="656" t="s">
        <v>97</v>
      </c>
      <c r="E29" s="668"/>
      <c r="F29" s="668"/>
      <c r="G29" s="668"/>
      <c r="H29" s="668"/>
      <c r="I29" s="668"/>
      <c r="J29" s="668"/>
      <c r="K29" s="668"/>
    </row>
    <row r="30" spans="1:11" ht="15.75" thickBot="1">
      <c r="A30" s="81"/>
      <c r="B30" s="654" t="s">
        <v>431</v>
      </c>
      <c r="C30" s="655" t="s">
        <v>97</v>
      </c>
      <c r="D30" s="656" t="s">
        <v>97</v>
      </c>
      <c r="E30" s="669"/>
      <c r="F30" s="669"/>
      <c r="G30" s="669"/>
      <c r="H30" s="669"/>
      <c r="I30" s="669"/>
      <c r="J30" s="669"/>
      <c r="K30" s="669"/>
    </row>
    <row r="31" spans="1:11" ht="15">
      <c r="A31" s="81"/>
      <c r="B31" s="544" t="s">
        <v>276</v>
      </c>
      <c r="C31" s="657">
        <f>C27/C26/1000</f>
        <v>0</v>
      </c>
      <c r="D31" s="664">
        <f>D27/D26/1000</f>
        <v>0</v>
      </c>
      <c r="E31" s="665">
        <f>IF(E26=0,0,E27/E26/1000)</f>
        <v>0</v>
      </c>
      <c r="F31" s="659">
        <f aca="true" t="shared" si="6" ref="F31:K31">IF(F26=0,0,F27/F26/1000)</f>
        <v>0</v>
      </c>
      <c r="G31" s="659">
        <f t="shared" si="6"/>
        <v>0</v>
      </c>
      <c r="H31" s="659">
        <f t="shared" si="6"/>
        <v>0</v>
      </c>
      <c r="I31" s="659">
        <f t="shared" si="6"/>
        <v>0</v>
      </c>
      <c r="J31" s="659">
        <f t="shared" si="6"/>
        <v>0</v>
      </c>
      <c r="K31" s="659">
        <f t="shared" si="6"/>
        <v>0</v>
      </c>
    </row>
    <row r="32" spans="1:11" ht="15">
      <c r="A32" s="81"/>
      <c r="B32" s="654" t="s">
        <v>404</v>
      </c>
      <c r="C32" s="660">
        <f>C27/12000*400</f>
        <v>0</v>
      </c>
      <c r="D32" s="660">
        <f>D27/12000*400</f>
        <v>0</v>
      </c>
      <c r="E32" s="660">
        <f>E27/12000*400</f>
        <v>0</v>
      </c>
      <c r="F32" s="660">
        <f aca="true" t="shared" si="7" ref="F32:K32">F27/12000*400</f>
        <v>0</v>
      </c>
      <c r="G32" s="660">
        <f t="shared" si="7"/>
        <v>0</v>
      </c>
      <c r="H32" s="660">
        <f t="shared" si="7"/>
        <v>0</v>
      </c>
      <c r="I32" s="660">
        <f t="shared" si="7"/>
        <v>0</v>
      </c>
      <c r="J32" s="660">
        <f t="shared" si="7"/>
        <v>0</v>
      </c>
      <c r="K32" s="660">
        <f t="shared" si="7"/>
        <v>0</v>
      </c>
    </row>
    <row r="33" spans="1:11" ht="15">
      <c r="A33" s="81"/>
      <c r="B33" s="654" t="s">
        <v>277</v>
      </c>
      <c r="C33" s="660">
        <f>C34*C32*1000</f>
        <v>0</v>
      </c>
      <c r="D33" s="660">
        <f>D34*D32*1000</f>
        <v>0</v>
      </c>
      <c r="E33" s="660">
        <f>IF(E30=0,0,E29*746/E30)</f>
        <v>0</v>
      </c>
      <c r="F33" s="660">
        <f aca="true" t="shared" si="8" ref="F33:K33">IF(F30=0,0,F29*746/F30)</f>
        <v>0</v>
      </c>
      <c r="G33" s="660">
        <f t="shared" si="8"/>
        <v>0</v>
      </c>
      <c r="H33" s="660">
        <f t="shared" si="8"/>
        <v>0</v>
      </c>
      <c r="I33" s="660">
        <f t="shared" si="8"/>
        <v>0</v>
      </c>
      <c r="J33" s="660">
        <f t="shared" si="8"/>
        <v>0</v>
      </c>
      <c r="K33" s="660">
        <f t="shared" si="8"/>
        <v>0</v>
      </c>
    </row>
    <row r="34" spans="1:11" ht="15">
      <c r="A34" s="81"/>
      <c r="B34" s="654" t="s">
        <v>279</v>
      </c>
      <c r="C34" s="661">
        <v>0.0003</v>
      </c>
      <c r="D34" s="661">
        <v>0.0003</v>
      </c>
      <c r="E34" s="661">
        <f aca="true" t="shared" si="9" ref="E34:K34">IF(E32=0,0,E33/1000/E32)</f>
        <v>0</v>
      </c>
      <c r="F34" s="661">
        <f t="shared" si="9"/>
        <v>0</v>
      </c>
      <c r="G34" s="661">
        <f t="shared" si="9"/>
        <v>0</v>
      </c>
      <c r="H34" s="661">
        <f t="shared" si="9"/>
        <v>0</v>
      </c>
      <c r="I34" s="661">
        <f t="shared" si="9"/>
        <v>0</v>
      </c>
      <c r="J34" s="661">
        <f t="shared" si="9"/>
        <v>0</v>
      </c>
      <c r="K34" s="661">
        <f t="shared" si="9"/>
        <v>0</v>
      </c>
    </row>
    <row r="35" spans="1:11" ht="15.75" thickBot="1">
      <c r="A35" s="81"/>
      <c r="B35" s="654" t="s">
        <v>857</v>
      </c>
      <c r="C35" s="662" t="e">
        <f>(C31*1000-C33)/C28*3.413</f>
        <v>#DIV/0!</v>
      </c>
      <c r="D35" s="662" t="e">
        <f>(D31*1000-D33)/D28*3.413</f>
        <v>#DIV/0!</v>
      </c>
      <c r="E35" s="662">
        <f>IF(E27+E28+E32=0,0,(E31*1000-E33)/E28*3.413)</f>
        <v>0</v>
      </c>
      <c r="F35" s="662">
        <f aca="true" t="shared" si="10" ref="F35:K35">IF(F27+F28+F32=0,0,(F31*1000-F33)/F28*3.413)</f>
        <v>0</v>
      </c>
      <c r="G35" s="662">
        <f t="shared" si="10"/>
        <v>0</v>
      </c>
      <c r="H35" s="662">
        <f t="shared" si="10"/>
        <v>0</v>
      </c>
      <c r="I35" s="662">
        <f t="shared" si="10"/>
        <v>0</v>
      </c>
      <c r="J35" s="662">
        <f t="shared" si="10"/>
        <v>0</v>
      </c>
      <c r="K35" s="662">
        <f t="shared" si="10"/>
        <v>0</v>
      </c>
    </row>
    <row r="36" spans="1:11" ht="15.75" thickBot="1">
      <c r="A36" s="81"/>
      <c r="B36" s="651" t="s">
        <v>861</v>
      </c>
      <c r="C36" s="667"/>
      <c r="D36" s="667"/>
      <c r="E36" s="667"/>
      <c r="F36" s="667"/>
      <c r="G36" s="667"/>
      <c r="H36" s="667"/>
      <c r="I36" s="667"/>
      <c r="J36" s="667"/>
      <c r="K36" s="667"/>
    </row>
    <row r="37" spans="1:11" ht="15.75" thickBot="1">
      <c r="A37"/>
      <c r="B37" s="654" t="s">
        <v>859</v>
      </c>
      <c r="C37" s="662">
        <f>IF(C36&gt;15000,2.81,IF(C36&lt;7000,3.018,3.2-(0.026*C36/1000)))</f>
        <v>3.018</v>
      </c>
      <c r="D37" s="662">
        <f>IF(D36&gt;15000,2.81,IF(D36&lt;7000,3.018,3.2-(0.026*D36/1000)))</f>
        <v>3.018</v>
      </c>
      <c r="E37" s="668"/>
      <c r="F37" s="668"/>
      <c r="G37" s="668"/>
      <c r="H37" s="668"/>
      <c r="I37" s="668"/>
      <c r="J37" s="668"/>
      <c r="K37" s="668"/>
    </row>
    <row r="38" spans="2:11" ht="15">
      <c r="B38" s="654" t="s">
        <v>858</v>
      </c>
      <c r="C38" s="662">
        <f aca="true" t="shared" si="11" ref="C38:K38">1/C37</f>
        <v>0.3313452617627568</v>
      </c>
      <c r="D38" s="662">
        <f t="shared" si="11"/>
        <v>0.3313452617627568</v>
      </c>
      <c r="E38" s="810" t="e">
        <f t="shared" si="11"/>
        <v>#DIV/0!</v>
      </c>
      <c r="F38" s="810" t="e">
        <f t="shared" si="11"/>
        <v>#DIV/0!</v>
      </c>
      <c r="G38" s="810" t="e">
        <f t="shared" si="11"/>
        <v>#DIV/0!</v>
      </c>
      <c r="H38" s="810" t="e">
        <f t="shared" si="11"/>
        <v>#DIV/0!</v>
      </c>
      <c r="I38" s="810" t="e">
        <f t="shared" si="11"/>
        <v>#DIV/0!</v>
      </c>
      <c r="J38" s="810" t="e">
        <f t="shared" si="11"/>
        <v>#DIV/0!</v>
      </c>
      <c r="K38" s="810" t="e">
        <f t="shared" si="11"/>
        <v>#DIV/0!</v>
      </c>
    </row>
  </sheetData>
  <sheetProtection sheet="1" objects="1" scenarios="1" insertColumns="0" insertRows="0"/>
  <mergeCells count="6">
    <mergeCell ref="E25:K25"/>
    <mergeCell ref="C7:D7"/>
    <mergeCell ref="E7:K7"/>
    <mergeCell ref="E9:K9"/>
    <mergeCell ref="C23:D23"/>
    <mergeCell ref="E23:K2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1:BT146"/>
  <sheetViews>
    <sheetView zoomScalePageLayoutView="0" workbookViewId="0" topLeftCell="A1">
      <selection activeCell="A10" sqref="A10"/>
    </sheetView>
  </sheetViews>
  <sheetFormatPr defaultColWidth="9.140625" defaultRowHeight="12.75"/>
  <cols>
    <col min="1" max="1" width="6.57421875" style="794" customWidth="1"/>
    <col min="2" max="2" width="7.28125" style="794" customWidth="1"/>
    <col min="3" max="3" width="6.8515625" style="794" customWidth="1"/>
    <col min="4" max="4" width="7.140625" style="794" customWidth="1"/>
    <col min="5" max="5" width="5.7109375" style="794" customWidth="1"/>
    <col min="6" max="6" width="11.57421875" style="794" customWidth="1"/>
    <col min="7" max="7" width="14.8515625" style="794" customWidth="1"/>
    <col min="8" max="8" width="17.00390625" style="794" customWidth="1"/>
    <col min="9" max="9" width="30.421875" style="794" customWidth="1"/>
    <col min="10" max="10" width="23.00390625" style="794" bestFit="1" customWidth="1"/>
    <col min="11" max="11" width="9.140625" style="794" customWidth="1"/>
    <col min="12" max="12" width="13.57421875" style="794" customWidth="1"/>
    <col min="13" max="13" width="14.00390625" style="795" customWidth="1"/>
    <col min="14" max="14" width="15.00390625" style="795" customWidth="1"/>
    <col min="15" max="15" width="13.57421875" style="795" customWidth="1"/>
    <col min="16" max="16" width="14.28125" style="795" customWidth="1"/>
    <col min="17" max="17" width="13.8515625" style="795" customWidth="1"/>
    <col min="18" max="18" width="11.8515625" style="795" customWidth="1"/>
    <col min="19" max="19" width="12.421875" style="795" customWidth="1"/>
    <col min="20" max="20" width="15.57421875" style="795" bestFit="1" customWidth="1"/>
    <col min="21" max="21" width="13.421875" style="795" customWidth="1"/>
    <col min="22" max="22" width="15.7109375" style="795" customWidth="1"/>
    <col min="23" max="23" width="12.140625" style="795" customWidth="1"/>
    <col min="24" max="24" width="8.57421875" style="795" customWidth="1"/>
    <col min="25" max="49" width="9.140625" style="795" hidden="1" customWidth="1"/>
    <col min="50" max="50" width="13.8515625" style="795" bestFit="1" customWidth="1"/>
    <col min="51" max="51" width="13.57421875" style="795" customWidth="1"/>
    <col min="52" max="52" width="15.57421875" style="795" bestFit="1" customWidth="1"/>
    <col min="53" max="53" width="13.57421875" style="795" customWidth="1"/>
    <col min="54" max="54" width="13.140625" style="795" customWidth="1"/>
    <col min="55" max="55" width="13.7109375" style="795" customWidth="1"/>
    <col min="56" max="56" width="12.00390625" style="795" customWidth="1"/>
    <col min="57" max="57" width="11.57421875" style="795" customWidth="1"/>
    <col min="58" max="58" width="15.421875" style="795" customWidth="1"/>
    <col min="59" max="59" width="13.421875" style="795" customWidth="1"/>
    <col min="60" max="60" width="15.421875" style="795" customWidth="1"/>
    <col min="61" max="61" width="12.00390625" style="795" customWidth="1"/>
    <col min="62" max="62" width="13.57421875" style="795" customWidth="1"/>
    <col min="63" max="67" width="9.140625" style="795" customWidth="1"/>
    <col min="68" max="68" width="18.8515625" style="795" customWidth="1"/>
    <col min="69" max="69" width="16.7109375" style="795" customWidth="1"/>
    <col min="70" max="16384" width="9.140625" style="795" customWidth="1"/>
  </cols>
  <sheetData>
    <row r="1" spans="1:12" s="29" customFormat="1" ht="15">
      <c r="A1" s="25"/>
      <c r="B1" s="2" t="s">
        <v>402</v>
      </c>
      <c r="C1" s="30"/>
      <c r="D1" s="30"/>
      <c r="E1" s="30"/>
      <c r="F1" s="25"/>
      <c r="G1" s="25"/>
      <c r="H1" s="25"/>
      <c r="I1" s="25"/>
      <c r="J1" s="25"/>
      <c r="K1" s="25"/>
      <c r="L1" s="25"/>
    </row>
    <row r="2" spans="1:12" s="29" customFormat="1" ht="15">
      <c r="A2" s="24">
        <v>1</v>
      </c>
      <c r="B2" s="24" t="s">
        <v>805</v>
      </c>
      <c r="C2" s="31"/>
      <c r="D2" s="31"/>
      <c r="E2" s="31"/>
      <c r="F2" s="25"/>
      <c r="G2" s="25"/>
      <c r="H2" s="25"/>
      <c r="I2" s="25"/>
      <c r="J2" s="25"/>
      <c r="K2" s="25"/>
      <c r="L2" s="25"/>
    </row>
    <row r="3" spans="1:5" s="29" customFormat="1" ht="15">
      <c r="A3" s="26">
        <v>2</v>
      </c>
      <c r="B3" s="26" t="s">
        <v>777</v>
      </c>
      <c r="C3" s="31"/>
      <c r="D3" s="31"/>
      <c r="E3" s="31"/>
    </row>
    <row r="4" spans="1:5" s="29" customFormat="1" ht="15">
      <c r="A4" s="26">
        <v>3</v>
      </c>
      <c r="B4" s="26" t="s">
        <v>779</v>
      </c>
      <c r="E4" s="59"/>
    </row>
    <row r="5" spans="1:12" s="29" customFormat="1" ht="15">
      <c r="A5" s="24">
        <v>4</v>
      </c>
      <c r="B5" s="24" t="s">
        <v>250</v>
      </c>
      <c r="C5" s="25"/>
      <c r="E5" s="59"/>
      <c r="I5" s="25"/>
      <c r="J5" s="25"/>
      <c r="K5" s="25"/>
      <c r="L5" s="25"/>
    </row>
    <row r="6" spans="1:12" s="29" customFormat="1" ht="15.75" thickBot="1">
      <c r="A6" s="24">
        <v>5</v>
      </c>
      <c r="B6" s="32" t="s">
        <v>732</v>
      </c>
      <c r="C6" s="25"/>
      <c r="D6" s="25"/>
      <c r="E6" s="25"/>
      <c r="F6" s="25"/>
      <c r="G6" s="25"/>
      <c r="H6" s="25"/>
      <c r="I6" s="25"/>
      <c r="J6" s="25"/>
      <c r="K6" s="25"/>
      <c r="L6" s="25"/>
    </row>
    <row r="7" spans="1:61" s="26" customFormat="1" ht="13.5" thickBot="1">
      <c r="A7" s="24"/>
      <c r="B7" s="60"/>
      <c r="C7" s="24"/>
      <c r="D7" s="24"/>
      <c r="E7" s="24"/>
      <c r="F7" s="24"/>
      <c r="G7" s="24"/>
      <c r="H7" s="24"/>
      <c r="I7" s="24"/>
      <c r="J7" s="24"/>
      <c r="K7" s="24"/>
      <c r="L7" s="61" t="s">
        <v>360</v>
      </c>
      <c r="M7" s="61" t="s">
        <v>360</v>
      </c>
      <c r="N7" s="61" t="s">
        <v>362</v>
      </c>
      <c r="O7" s="61" t="s">
        <v>358</v>
      </c>
      <c r="P7" s="61" t="s">
        <v>359</v>
      </c>
      <c r="Q7" s="61" t="s">
        <v>359</v>
      </c>
      <c r="R7" s="61" t="s">
        <v>363</v>
      </c>
      <c r="S7" s="61" t="s">
        <v>363</v>
      </c>
      <c r="T7" s="61" t="s">
        <v>362</v>
      </c>
      <c r="U7" s="61" t="s">
        <v>358</v>
      </c>
      <c r="V7" s="61" t="s">
        <v>361</v>
      </c>
      <c r="W7" s="61" t="s">
        <v>363</v>
      </c>
      <c r="AX7" s="61" t="s">
        <v>360</v>
      </c>
      <c r="AY7" s="61" t="s">
        <v>360</v>
      </c>
      <c r="AZ7" s="61" t="s">
        <v>362</v>
      </c>
      <c r="BA7" s="61" t="s">
        <v>358</v>
      </c>
      <c r="BB7" s="61" t="s">
        <v>359</v>
      </c>
      <c r="BC7" s="61" t="s">
        <v>359</v>
      </c>
      <c r="BD7" s="61" t="s">
        <v>363</v>
      </c>
      <c r="BE7" s="61" t="s">
        <v>363</v>
      </c>
      <c r="BF7" s="61" t="s">
        <v>362</v>
      </c>
      <c r="BG7" s="61" t="s">
        <v>358</v>
      </c>
      <c r="BH7" s="61" t="s">
        <v>361</v>
      </c>
      <c r="BI7" s="61" t="s">
        <v>363</v>
      </c>
    </row>
    <row r="8" spans="1:67" s="26" customFormat="1" ht="12.75">
      <c r="A8" s="32" t="s">
        <v>451</v>
      </c>
      <c r="B8" s="32" t="s">
        <v>780</v>
      </c>
      <c r="C8" s="24"/>
      <c r="D8" s="24"/>
      <c r="E8" s="24"/>
      <c r="F8" s="24"/>
      <c r="G8" s="24"/>
      <c r="H8" s="24"/>
      <c r="I8" s="24"/>
      <c r="J8" s="24"/>
      <c r="K8" s="24"/>
      <c r="L8" s="26" t="s">
        <v>108</v>
      </c>
      <c r="Y8" s="26" t="s">
        <v>109</v>
      </c>
      <c r="AK8" s="26" t="s">
        <v>110</v>
      </c>
      <c r="AX8" s="26" t="s">
        <v>111</v>
      </c>
      <c r="BK8" s="26" t="s">
        <v>112</v>
      </c>
      <c r="BM8" s="26" t="s">
        <v>113</v>
      </c>
      <c r="BO8" s="26" t="s">
        <v>114</v>
      </c>
    </row>
    <row r="9" spans="1:70" s="26" customFormat="1" ht="12.75">
      <c r="A9" s="24"/>
      <c r="B9" s="24"/>
      <c r="C9" s="24"/>
      <c r="D9" s="24"/>
      <c r="E9" s="24"/>
      <c r="F9" s="24"/>
      <c r="G9" s="24"/>
      <c r="H9" s="24"/>
      <c r="I9" s="24"/>
      <c r="J9" s="24"/>
      <c r="K9" s="24" t="s">
        <v>115</v>
      </c>
      <c r="L9" s="26" t="s">
        <v>116</v>
      </c>
      <c r="M9" s="26" t="s">
        <v>116</v>
      </c>
      <c r="N9" s="26" t="s">
        <v>116</v>
      </c>
      <c r="O9" s="26" t="s">
        <v>116</v>
      </c>
      <c r="P9" s="26" t="s">
        <v>116</v>
      </c>
      <c r="Q9" s="26" t="s">
        <v>116</v>
      </c>
      <c r="R9" s="26" t="s">
        <v>116</v>
      </c>
      <c r="S9" s="26" t="s">
        <v>116</v>
      </c>
      <c r="T9" s="26" t="s">
        <v>116</v>
      </c>
      <c r="U9" s="26" t="s">
        <v>116</v>
      </c>
      <c r="V9" s="26" t="s">
        <v>116</v>
      </c>
      <c r="W9" s="26" t="s">
        <v>116</v>
      </c>
      <c r="X9" s="26" t="s">
        <v>116</v>
      </c>
      <c r="Y9" s="26" t="s">
        <v>116</v>
      </c>
      <c r="Z9" s="26" t="s">
        <v>116</v>
      </c>
      <c r="AA9" s="26" t="s">
        <v>116</v>
      </c>
      <c r="AB9" s="26" t="s">
        <v>116</v>
      </c>
      <c r="AC9" s="26" t="s">
        <v>116</v>
      </c>
      <c r="AD9" s="26" t="s">
        <v>116</v>
      </c>
      <c r="AE9" s="26" t="s">
        <v>116</v>
      </c>
      <c r="AF9" s="26" t="s">
        <v>116</v>
      </c>
      <c r="AG9" s="26" t="s">
        <v>116</v>
      </c>
      <c r="AH9" s="26" t="s">
        <v>116</v>
      </c>
      <c r="AI9" s="26" t="s">
        <v>116</v>
      </c>
      <c r="AJ9" s="26" t="s">
        <v>116</v>
      </c>
      <c r="AK9" s="26" t="s">
        <v>116</v>
      </c>
      <c r="AL9" s="26" t="s">
        <v>116</v>
      </c>
      <c r="AM9" s="26" t="s">
        <v>116</v>
      </c>
      <c r="AN9" s="26" t="s">
        <v>116</v>
      </c>
      <c r="AO9" s="26" t="s">
        <v>116</v>
      </c>
      <c r="AP9" s="26" t="s">
        <v>116</v>
      </c>
      <c r="AQ9" s="26" t="s">
        <v>116</v>
      </c>
      <c r="AR9" s="26" t="s">
        <v>116</v>
      </c>
      <c r="AS9" s="26" t="s">
        <v>116</v>
      </c>
      <c r="AT9" s="26" t="s">
        <v>116</v>
      </c>
      <c r="AU9" s="26" t="s">
        <v>116</v>
      </c>
      <c r="AV9" s="26" t="s">
        <v>116</v>
      </c>
      <c r="AW9" s="26" t="s">
        <v>116</v>
      </c>
      <c r="AX9" s="26" t="s">
        <v>116</v>
      </c>
      <c r="AY9" s="26" t="s">
        <v>116</v>
      </c>
      <c r="AZ9" s="26" t="s">
        <v>116</v>
      </c>
      <c r="BA9" s="26" t="s">
        <v>116</v>
      </c>
      <c r="BB9" s="26" t="s">
        <v>116</v>
      </c>
      <c r="BC9" s="26" t="s">
        <v>116</v>
      </c>
      <c r="BD9" s="26" t="s">
        <v>116</v>
      </c>
      <c r="BE9" s="26" t="s">
        <v>116</v>
      </c>
      <c r="BF9" s="26" t="s">
        <v>116</v>
      </c>
      <c r="BG9" s="26" t="s">
        <v>116</v>
      </c>
      <c r="BH9" s="26" t="s">
        <v>116</v>
      </c>
      <c r="BI9" s="26" t="s">
        <v>116</v>
      </c>
      <c r="BJ9" s="26" t="s">
        <v>116</v>
      </c>
      <c r="BK9" s="26" t="s">
        <v>117</v>
      </c>
      <c r="BL9" s="26" t="s">
        <v>117</v>
      </c>
      <c r="BM9" s="26" t="s">
        <v>118</v>
      </c>
      <c r="BN9" s="26" t="s">
        <v>118</v>
      </c>
      <c r="BO9" s="26" t="s">
        <v>119</v>
      </c>
      <c r="BP9" s="26" t="s">
        <v>119</v>
      </c>
      <c r="BQ9" s="26" t="s">
        <v>119</v>
      </c>
      <c r="BR9" s="26" t="s">
        <v>119</v>
      </c>
    </row>
    <row r="10" spans="1:70" s="26" customFormat="1" ht="12.75">
      <c r="A10" s="24"/>
      <c r="B10" s="24"/>
      <c r="C10" s="24"/>
      <c r="D10" s="24"/>
      <c r="E10" s="24"/>
      <c r="F10" s="24"/>
      <c r="G10" s="24"/>
      <c r="H10" s="24"/>
      <c r="I10" s="24"/>
      <c r="J10" s="24"/>
      <c r="K10" s="24" t="s">
        <v>120</v>
      </c>
      <c r="L10" s="26" t="s">
        <v>121</v>
      </c>
      <c r="M10" s="26" t="s">
        <v>122</v>
      </c>
      <c r="N10" s="26" t="s">
        <v>123</v>
      </c>
      <c r="O10" s="26" t="s">
        <v>124</v>
      </c>
      <c r="P10" s="26" t="s">
        <v>124</v>
      </c>
      <c r="Q10" s="26" t="s">
        <v>125</v>
      </c>
      <c r="R10" s="26" t="s">
        <v>331</v>
      </c>
      <c r="S10" s="26" t="s">
        <v>126</v>
      </c>
      <c r="T10" s="26" t="s">
        <v>127</v>
      </c>
      <c r="U10" s="26" t="s">
        <v>128</v>
      </c>
      <c r="V10" s="26" t="s">
        <v>129</v>
      </c>
      <c r="W10" s="26" t="s">
        <v>130</v>
      </c>
      <c r="Y10" s="26" t="s">
        <v>121</v>
      </c>
      <c r="Z10" s="26" t="s">
        <v>122</v>
      </c>
      <c r="AA10" s="26" t="s">
        <v>123</v>
      </c>
      <c r="AB10" s="26" t="s">
        <v>124</v>
      </c>
      <c r="AC10" s="26" t="s">
        <v>124</v>
      </c>
      <c r="AD10" s="26" t="s">
        <v>125</v>
      </c>
      <c r="AE10" s="26" t="s">
        <v>331</v>
      </c>
      <c r="AF10" s="26" t="s">
        <v>126</v>
      </c>
      <c r="AG10" s="26" t="s">
        <v>127</v>
      </c>
      <c r="AH10" s="26" t="s">
        <v>128</v>
      </c>
      <c r="AI10" s="26" t="s">
        <v>129</v>
      </c>
      <c r="AJ10" s="26" t="s">
        <v>130</v>
      </c>
      <c r="AK10" s="26" t="s">
        <v>121</v>
      </c>
      <c r="AL10" s="26" t="s">
        <v>122</v>
      </c>
      <c r="AM10" s="26" t="s">
        <v>123</v>
      </c>
      <c r="AN10" s="26" t="s">
        <v>124</v>
      </c>
      <c r="AO10" s="26" t="s">
        <v>124</v>
      </c>
      <c r="AP10" s="26" t="s">
        <v>125</v>
      </c>
      <c r="AQ10" s="26" t="s">
        <v>331</v>
      </c>
      <c r="AR10" s="26" t="s">
        <v>126</v>
      </c>
      <c r="AS10" s="26" t="s">
        <v>127</v>
      </c>
      <c r="AT10" s="26" t="s">
        <v>128</v>
      </c>
      <c r="AU10" s="26" t="s">
        <v>129</v>
      </c>
      <c r="AV10" s="26" t="s">
        <v>130</v>
      </c>
      <c r="AW10" s="26" t="s">
        <v>131</v>
      </c>
      <c r="AX10" s="26" t="s">
        <v>121</v>
      </c>
      <c r="AY10" s="26" t="s">
        <v>122</v>
      </c>
      <c r="AZ10" s="26" t="s">
        <v>123</v>
      </c>
      <c r="BA10" s="26" t="s">
        <v>124</v>
      </c>
      <c r="BB10" s="26" t="s">
        <v>124</v>
      </c>
      <c r="BC10" s="26" t="s">
        <v>125</v>
      </c>
      <c r="BD10" s="26" t="s">
        <v>331</v>
      </c>
      <c r="BE10" s="26" t="s">
        <v>126</v>
      </c>
      <c r="BF10" s="26" t="s">
        <v>127</v>
      </c>
      <c r="BG10" s="26" t="s">
        <v>128</v>
      </c>
      <c r="BH10" s="26" t="s">
        <v>129</v>
      </c>
      <c r="BI10" s="26" t="s">
        <v>130</v>
      </c>
      <c r="BK10" s="26" t="s">
        <v>131</v>
      </c>
      <c r="BL10" s="26" t="s">
        <v>131</v>
      </c>
      <c r="BM10" s="26" t="s">
        <v>131</v>
      </c>
      <c r="BN10" s="26" t="s">
        <v>131</v>
      </c>
      <c r="BO10" s="26" t="s">
        <v>332</v>
      </c>
      <c r="BP10" s="26" t="s">
        <v>332</v>
      </c>
      <c r="BQ10" s="26" t="s">
        <v>366</v>
      </c>
      <c r="BR10" s="26" t="s">
        <v>366</v>
      </c>
    </row>
    <row r="11" spans="1:70" s="26" customFormat="1" ht="12.75">
      <c r="A11" s="24" t="s">
        <v>132</v>
      </c>
      <c r="B11" s="24" t="s">
        <v>133</v>
      </c>
      <c r="C11" s="24" t="s">
        <v>134</v>
      </c>
      <c r="D11" s="24" t="s">
        <v>135</v>
      </c>
      <c r="E11" s="24" t="s">
        <v>136</v>
      </c>
      <c r="F11" s="24" t="s">
        <v>137</v>
      </c>
      <c r="G11" s="24" t="s">
        <v>137</v>
      </c>
      <c r="H11" s="24"/>
      <c r="I11" s="24"/>
      <c r="J11" s="24"/>
      <c r="K11" s="24" t="s">
        <v>138</v>
      </c>
      <c r="L11" s="26" t="s">
        <v>139</v>
      </c>
      <c r="M11" s="26" t="s">
        <v>139</v>
      </c>
      <c r="N11" s="26" t="s">
        <v>140</v>
      </c>
      <c r="O11" s="26" t="s">
        <v>141</v>
      </c>
      <c r="P11" s="26" t="s">
        <v>364</v>
      </c>
      <c r="Q11" s="26" t="s">
        <v>142</v>
      </c>
      <c r="R11" s="26" t="s">
        <v>143</v>
      </c>
      <c r="S11" s="26" t="s">
        <v>144</v>
      </c>
      <c r="T11" s="26" t="s">
        <v>145</v>
      </c>
      <c r="U11" s="26" t="s">
        <v>146</v>
      </c>
      <c r="V11" s="26" t="s">
        <v>147</v>
      </c>
      <c r="W11" s="26" t="s">
        <v>148</v>
      </c>
      <c r="X11" s="26" t="s">
        <v>332</v>
      </c>
      <c r="Y11" s="26" t="s">
        <v>139</v>
      </c>
      <c r="Z11" s="26" t="s">
        <v>139</v>
      </c>
      <c r="AA11" s="26" t="s">
        <v>140</v>
      </c>
      <c r="AB11" s="26" t="s">
        <v>141</v>
      </c>
      <c r="AC11" s="26" t="s">
        <v>364</v>
      </c>
      <c r="AD11" s="26" t="s">
        <v>142</v>
      </c>
      <c r="AE11" s="26" t="s">
        <v>143</v>
      </c>
      <c r="AF11" s="26" t="s">
        <v>144</v>
      </c>
      <c r="AG11" s="26" t="s">
        <v>145</v>
      </c>
      <c r="AH11" s="26" t="s">
        <v>146</v>
      </c>
      <c r="AI11" s="26" t="s">
        <v>147</v>
      </c>
      <c r="AJ11" s="26" t="s">
        <v>148</v>
      </c>
      <c r="AK11" s="26" t="s">
        <v>139</v>
      </c>
      <c r="AL11" s="26" t="s">
        <v>139</v>
      </c>
      <c r="AM11" s="26" t="s">
        <v>140</v>
      </c>
      <c r="AN11" s="26" t="s">
        <v>141</v>
      </c>
      <c r="AO11" s="26" t="s">
        <v>364</v>
      </c>
      <c r="AP11" s="26" t="s">
        <v>142</v>
      </c>
      <c r="AQ11" s="26" t="s">
        <v>143</v>
      </c>
      <c r="AR11" s="26" t="s">
        <v>144</v>
      </c>
      <c r="AS11" s="26" t="s">
        <v>145</v>
      </c>
      <c r="AT11" s="26" t="s">
        <v>146</v>
      </c>
      <c r="AU11" s="26" t="s">
        <v>147</v>
      </c>
      <c r="AV11" s="26" t="s">
        <v>148</v>
      </c>
      <c r="AW11" s="26" t="s">
        <v>332</v>
      </c>
      <c r="AX11" s="26" t="s">
        <v>139</v>
      </c>
      <c r="AY11" s="26" t="s">
        <v>139</v>
      </c>
      <c r="AZ11" s="26" t="s">
        <v>140</v>
      </c>
      <c r="BA11" s="26" t="s">
        <v>141</v>
      </c>
      <c r="BB11" s="26" t="s">
        <v>364</v>
      </c>
      <c r="BC11" s="26" t="s">
        <v>142</v>
      </c>
      <c r="BD11" s="26" t="s">
        <v>143</v>
      </c>
      <c r="BE11" s="26" t="s">
        <v>144</v>
      </c>
      <c r="BF11" s="26" t="s">
        <v>145</v>
      </c>
      <c r="BG11" s="26" t="s">
        <v>146</v>
      </c>
      <c r="BH11" s="26" t="s">
        <v>147</v>
      </c>
      <c r="BI11" s="26" t="s">
        <v>148</v>
      </c>
      <c r="BJ11" s="26" t="s">
        <v>332</v>
      </c>
      <c r="BK11" s="26" t="s">
        <v>374</v>
      </c>
      <c r="BL11" s="26" t="s">
        <v>149</v>
      </c>
      <c r="BM11" s="26" t="s">
        <v>374</v>
      </c>
      <c r="BN11" s="26" t="s">
        <v>149</v>
      </c>
      <c r="BO11" s="26" t="s">
        <v>366</v>
      </c>
      <c r="BP11" s="26" t="s">
        <v>255</v>
      </c>
      <c r="BQ11" s="26" t="s">
        <v>83</v>
      </c>
      <c r="BR11" s="26" t="s">
        <v>84</v>
      </c>
    </row>
    <row r="12" spans="1:70" s="26" customFormat="1" ht="13.5" thickBot="1">
      <c r="A12" s="62" t="s">
        <v>256</v>
      </c>
      <c r="B12" s="62" t="s">
        <v>257</v>
      </c>
      <c r="C12" s="62" t="s">
        <v>258</v>
      </c>
      <c r="D12" s="62" t="s">
        <v>259</v>
      </c>
      <c r="E12" s="62" t="s">
        <v>260</v>
      </c>
      <c r="F12" s="62" t="s">
        <v>261</v>
      </c>
      <c r="G12" s="62" t="s">
        <v>75</v>
      </c>
      <c r="H12" s="62" t="s">
        <v>76</v>
      </c>
      <c r="I12" s="62" t="s">
        <v>77</v>
      </c>
      <c r="J12" s="62" t="s">
        <v>78</v>
      </c>
      <c r="K12" s="62" t="s">
        <v>378</v>
      </c>
      <c r="L12" s="63" t="s">
        <v>83</v>
      </c>
      <c r="M12" s="63" t="s">
        <v>83</v>
      </c>
      <c r="N12" s="63" t="s">
        <v>83</v>
      </c>
      <c r="O12" s="63" t="s">
        <v>83</v>
      </c>
      <c r="P12" s="63" t="s">
        <v>83</v>
      </c>
      <c r="Q12" s="63" t="s">
        <v>83</v>
      </c>
      <c r="R12" s="63" t="s">
        <v>83</v>
      </c>
      <c r="S12" s="63" t="s">
        <v>83</v>
      </c>
      <c r="T12" s="63" t="s">
        <v>83</v>
      </c>
      <c r="U12" s="63" t="s">
        <v>83</v>
      </c>
      <c r="V12" s="63" t="s">
        <v>83</v>
      </c>
      <c r="W12" s="63" t="s">
        <v>83</v>
      </c>
      <c r="X12" s="63" t="s">
        <v>83</v>
      </c>
      <c r="Y12" s="63" t="s">
        <v>84</v>
      </c>
      <c r="Z12" s="63" t="s">
        <v>84</v>
      </c>
      <c r="AA12" s="63" t="s">
        <v>84</v>
      </c>
      <c r="AB12" s="63" t="s">
        <v>84</v>
      </c>
      <c r="AC12" s="63" t="s">
        <v>84</v>
      </c>
      <c r="AD12" s="63" t="s">
        <v>84</v>
      </c>
      <c r="AE12" s="63" t="s">
        <v>84</v>
      </c>
      <c r="AF12" s="63" t="s">
        <v>84</v>
      </c>
      <c r="AG12" s="63" t="s">
        <v>84</v>
      </c>
      <c r="AH12" s="63" t="s">
        <v>84</v>
      </c>
      <c r="AI12" s="63" t="s">
        <v>84</v>
      </c>
      <c r="AJ12" s="63" t="s">
        <v>84</v>
      </c>
      <c r="AK12" s="63" t="s">
        <v>84</v>
      </c>
      <c r="AL12" s="63" t="s">
        <v>84</v>
      </c>
      <c r="AM12" s="63" t="s">
        <v>84</v>
      </c>
      <c r="AN12" s="63" t="s">
        <v>84</v>
      </c>
      <c r="AO12" s="63" t="s">
        <v>84</v>
      </c>
      <c r="AP12" s="63" t="s">
        <v>84</v>
      </c>
      <c r="AQ12" s="63" t="s">
        <v>84</v>
      </c>
      <c r="AR12" s="63" t="s">
        <v>84</v>
      </c>
      <c r="AS12" s="63" t="s">
        <v>84</v>
      </c>
      <c r="AT12" s="63" t="s">
        <v>84</v>
      </c>
      <c r="AU12" s="63" t="s">
        <v>84</v>
      </c>
      <c r="AV12" s="63" t="s">
        <v>84</v>
      </c>
      <c r="AW12" s="63" t="s">
        <v>84</v>
      </c>
      <c r="AX12" s="63" t="s">
        <v>365</v>
      </c>
      <c r="AY12" s="63" t="s">
        <v>365</v>
      </c>
      <c r="AZ12" s="63" t="s">
        <v>365</v>
      </c>
      <c r="BA12" s="63" t="s">
        <v>365</v>
      </c>
      <c r="BB12" s="63" t="s">
        <v>365</v>
      </c>
      <c r="BC12" s="63" t="s">
        <v>365</v>
      </c>
      <c r="BD12" s="63" t="s">
        <v>365</v>
      </c>
      <c r="BE12" s="63" t="s">
        <v>365</v>
      </c>
      <c r="BF12" s="63" t="s">
        <v>365</v>
      </c>
      <c r="BG12" s="63" t="s">
        <v>365</v>
      </c>
      <c r="BH12" s="63" t="s">
        <v>365</v>
      </c>
      <c r="BI12" s="63" t="s">
        <v>365</v>
      </c>
      <c r="BJ12" s="63" t="s">
        <v>365</v>
      </c>
      <c r="BK12" s="63" t="s">
        <v>79</v>
      </c>
      <c r="BL12" s="63" t="s">
        <v>80</v>
      </c>
      <c r="BM12" s="63" t="s">
        <v>81</v>
      </c>
      <c r="BN12" s="63" t="s">
        <v>367</v>
      </c>
      <c r="BO12" s="63" t="s">
        <v>85</v>
      </c>
      <c r="BP12" s="63" t="s">
        <v>85</v>
      </c>
      <c r="BQ12" s="63" t="s">
        <v>85</v>
      </c>
      <c r="BR12" s="63" t="s">
        <v>85</v>
      </c>
    </row>
    <row r="13" spans="1:71" s="759" customFormat="1" ht="12.75">
      <c r="A13" s="702"/>
      <c r="B13" s="702"/>
      <c r="C13" s="702"/>
      <c r="D13" s="702"/>
      <c r="E13" s="702"/>
      <c r="F13" s="703"/>
      <c r="G13" s="703"/>
      <c r="H13" s="702"/>
      <c r="I13" s="702"/>
      <c r="J13" s="702"/>
      <c r="K13" s="702"/>
      <c r="L13" s="702"/>
      <c r="M13" s="702"/>
      <c r="N13" s="702"/>
      <c r="O13" s="702"/>
      <c r="P13" s="702"/>
      <c r="Q13" s="702"/>
      <c r="R13" s="702"/>
      <c r="S13" s="702"/>
      <c r="T13" s="702"/>
      <c r="U13" s="702"/>
      <c r="V13" s="702"/>
      <c r="W13" s="702"/>
      <c r="X13" s="702"/>
      <c r="Y13" s="702"/>
      <c r="Z13" s="702"/>
      <c r="AA13" s="702"/>
      <c r="AB13" s="702"/>
      <c r="AC13" s="702"/>
      <c r="AD13" s="702"/>
      <c r="AE13" s="702"/>
      <c r="AF13" s="702"/>
      <c r="AG13" s="702"/>
      <c r="AH13" s="702"/>
      <c r="AI13" s="702"/>
      <c r="AJ13" s="702"/>
      <c r="AK13" s="702"/>
      <c r="AL13" s="702"/>
      <c r="AM13" s="702"/>
      <c r="AN13" s="702"/>
      <c r="AO13" s="702"/>
      <c r="AP13" s="702"/>
      <c r="AQ13" s="702"/>
      <c r="AR13" s="702"/>
      <c r="AS13" s="702"/>
      <c r="AT13" s="702"/>
      <c r="AU13" s="702"/>
      <c r="AV13" s="702"/>
      <c r="AW13" s="702"/>
      <c r="AX13" s="702"/>
      <c r="AY13" s="702"/>
      <c r="AZ13" s="702"/>
      <c r="BA13" s="702"/>
      <c r="BB13" s="702"/>
      <c r="BC13" s="702"/>
      <c r="BD13" s="702"/>
      <c r="BE13" s="702"/>
      <c r="BF13" s="702"/>
      <c r="BG13" s="702"/>
      <c r="BH13" s="702"/>
      <c r="BI13" s="702"/>
      <c r="BJ13" s="702"/>
      <c r="BK13" s="702"/>
      <c r="BL13" s="702"/>
      <c r="BM13" s="702"/>
      <c r="BN13" s="702"/>
      <c r="BO13" s="702"/>
      <c r="BP13" s="702"/>
      <c r="BQ13" s="702"/>
      <c r="BR13" s="708"/>
      <c r="BS13" s="799"/>
    </row>
    <row r="14" spans="1:71" s="759" customFormat="1" ht="12.75">
      <c r="A14" s="708"/>
      <c r="B14" s="702"/>
      <c r="C14" s="702"/>
      <c r="D14" s="702"/>
      <c r="E14" s="702"/>
      <c r="F14" s="703"/>
      <c r="G14" s="703"/>
      <c r="H14" s="702"/>
      <c r="I14" s="702"/>
      <c r="J14" s="702"/>
      <c r="K14" s="702"/>
      <c r="L14" s="702"/>
      <c r="M14" s="702"/>
      <c r="N14" s="702"/>
      <c r="O14" s="702"/>
      <c r="P14" s="702"/>
      <c r="Q14" s="702"/>
      <c r="R14" s="702"/>
      <c r="S14" s="702"/>
      <c r="T14" s="702"/>
      <c r="U14" s="702"/>
      <c r="V14" s="702"/>
      <c r="W14" s="702"/>
      <c r="X14" s="702"/>
      <c r="Y14" s="702"/>
      <c r="Z14" s="702"/>
      <c r="AA14" s="702"/>
      <c r="AB14" s="702"/>
      <c r="AC14" s="702"/>
      <c r="AD14" s="702"/>
      <c r="AE14" s="702"/>
      <c r="AF14" s="702"/>
      <c r="AG14" s="702"/>
      <c r="AH14" s="702"/>
      <c r="AI14" s="702"/>
      <c r="AJ14" s="702"/>
      <c r="AK14" s="702"/>
      <c r="AL14" s="702"/>
      <c r="AM14" s="702"/>
      <c r="AN14" s="702"/>
      <c r="AO14" s="702"/>
      <c r="AP14" s="702"/>
      <c r="AQ14" s="702"/>
      <c r="AR14" s="702"/>
      <c r="AS14" s="702"/>
      <c r="AT14" s="702"/>
      <c r="AU14" s="702"/>
      <c r="AV14" s="702"/>
      <c r="AW14" s="702"/>
      <c r="AX14" s="702"/>
      <c r="AY14" s="702"/>
      <c r="AZ14" s="702"/>
      <c r="BA14" s="702"/>
      <c r="BB14" s="702"/>
      <c r="BC14" s="702"/>
      <c r="BD14" s="702"/>
      <c r="BE14" s="702"/>
      <c r="BF14" s="702"/>
      <c r="BG14" s="702"/>
      <c r="BH14" s="702"/>
      <c r="BI14" s="702"/>
      <c r="BJ14" s="702"/>
      <c r="BK14" s="702"/>
      <c r="BL14" s="702"/>
      <c r="BM14" s="702"/>
      <c r="BN14" s="702"/>
      <c r="BO14" s="702"/>
      <c r="BP14" s="702"/>
      <c r="BQ14" s="702"/>
      <c r="BR14" s="702"/>
      <c r="BS14" s="799"/>
    </row>
    <row r="15" spans="1:71" s="759" customFormat="1" ht="12.75">
      <c r="A15" s="708"/>
      <c r="B15" s="702"/>
      <c r="C15" s="702"/>
      <c r="D15" s="702"/>
      <c r="E15" s="702"/>
      <c r="F15" s="703"/>
      <c r="G15" s="703"/>
      <c r="H15" s="702"/>
      <c r="I15" s="708"/>
      <c r="J15" s="702"/>
      <c r="K15" s="702"/>
      <c r="L15" s="702"/>
      <c r="M15" s="702"/>
      <c r="N15" s="702"/>
      <c r="O15" s="702"/>
      <c r="P15" s="702"/>
      <c r="Q15" s="702"/>
      <c r="R15" s="702"/>
      <c r="S15" s="702"/>
      <c r="T15" s="702"/>
      <c r="U15" s="702"/>
      <c r="V15" s="702"/>
      <c r="W15" s="702"/>
      <c r="X15" s="702"/>
      <c r="Y15" s="702"/>
      <c r="Z15" s="702"/>
      <c r="AA15" s="702"/>
      <c r="AB15" s="702"/>
      <c r="AC15" s="702"/>
      <c r="AD15" s="702"/>
      <c r="AE15" s="702"/>
      <c r="AF15" s="702"/>
      <c r="AG15" s="702"/>
      <c r="AH15" s="702"/>
      <c r="AI15" s="702"/>
      <c r="AJ15" s="702"/>
      <c r="AK15" s="702"/>
      <c r="AL15" s="702"/>
      <c r="AM15" s="702"/>
      <c r="AN15" s="702"/>
      <c r="AO15" s="702"/>
      <c r="AP15" s="702"/>
      <c r="AQ15" s="702"/>
      <c r="AR15" s="702"/>
      <c r="AS15" s="702"/>
      <c r="AT15" s="702"/>
      <c r="AU15" s="702"/>
      <c r="AV15" s="702"/>
      <c r="AW15" s="702"/>
      <c r="AX15" s="702"/>
      <c r="AY15" s="702"/>
      <c r="AZ15" s="702"/>
      <c r="BA15" s="702"/>
      <c r="BB15" s="702"/>
      <c r="BC15" s="702"/>
      <c r="BD15" s="702"/>
      <c r="BE15" s="702"/>
      <c r="BF15" s="702"/>
      <c r="BG15" s="702"/>
      <c r="BH15" s="702"/>
      <c r="BI15" s="702"/>
      <c r="BJ15" s="702"/>
      <c r="BK15" s="702"/>
      <c r="BL15" s="702"/>
      <c r="BM15" s="702"/>
      <c r="BN15" s="702"/>
      <c r="BO15" s="702"/>
      <c r="BP15" s="702"/>
      <c r="BQ15" s="702"/>
      <c r="BR15" s="702"/>
      <c r="BS15" s="799"/>
    </row>
    <row r="16" spans="1:71" s="759" customFormat="1" ht="12.75">
      <c r="A16" s="708"/>
      <c r="B16" s="708"/>
      <c r="C16" s="702"/>
      <c r="D16" s="702"/>
      <c r="E16" s="702"/>
      <c r="F16" s="707"/>
      <c r="G16" s="703"/>
      <c r="H16" s="702"/>
      <c r="I16" s="702"/>
      <c r="J16" s="702"/>
      <c r="K16" s="702"/>
      <c r="L16" s="702"/>
      <c r="M16" s="702"/>
      <c r="N16" s="702"/>
      <c r="O16" s="702"/>
      <c r="P16" s="702"/>
      <c r="Q16" s="702"/>
      <c r="R16" s="702"/>
      <c r="S16" s="702"/>
      <c r="T16" s="702"/>
      <c r="U16" s="702"/>
      <c r="V16" s="702"/>
      <c r="W16" s="702"/>
      <c r="X16" s="702"/>
      <c r="Y16" s="702"/>
      <c r="Z16" s="702"/>
      <c r="AA16" s="702"/>
      <c r="AB16" s="702"/>
      <c r="AC16" s="702"/>
      <c r="AD16" s="702"/>
      <c r="AE16" s="702"/>
      <c r="AF16" s="702"/>
      <c r="AG16" s="702"/>
      <c r="AH16" s="702"/>
      <c r="AI16" s="702"/>
      <c r="AJ16" s="702"/>
      <c r="AK16" s="702"/>
      <c r="AL16" s="702"/>
      <c r="AM16" s="702"/>
      <c r="AN16" s="702"/>
      <c r="AO16" s="702"/>
      <c r="AP16" s="702"/>
      <c r="AQ16" s="702"/>
      <c r="AR16" s="702"/>
      <c r="AS16" s="702"/>
      <c r="AT16" s="702"/>
      <c r="AU16" s="702"/>
      <c r="AV16" s="702"/>
      <c r="AW16" s="702"/>
      <c r="AX16" s="702"/>
      <c r="AY16" s="702"/>
      <c r="AZ16" s="702"/>
      <c r="BA16" s="702"/>
      <c r="BB16" s="702"/>
      <c r="BC16" s="702"/>
      <c r="BD16" s="702"/>
      <c r="BE16" s="702"/>
      <c r="BF16" s="702"/>
      <c r="BG16" s="702"/>
      <c r="BH16" s="702"/>
      <c r="BI16" s="702"/>
      <c r="BJ16" s="702"/>
      <c r="BK16" s="702"/>
      <c r="BL16" s="702"/>
      <c r="BM16" s="702"/>
      <c r="BN16" s="702"/>
      <c r="BO16" s="702"/>
      <c r="BP16" s="702"/>
      <c r="BQ16" s="702"/>
      <c r="BR16" s="702"/>
      <c r="BS16" s="799"/>
    </row>
    <row r="17" spans="1:71" s="26" customFormat="1" ht="12.75">
      <c r="A17" s="1301" t="s">
        <v>267</v>
      </c>
      <c r="B17" s="1301"/>
      <c r="C17" s="1301"/>
      <c r="D17" s="1301"/>
      <c r="E17" s="1301"/>
      <c r="F17" s="1301"/>
      <c r="G17" s="1301"/>
      <c r="H17" s="1301"/>
      <c r="I17" s="1301"/>
      <c r="J17" s="1301"/>
      <c r="K17" s="1301"/>
      <c r="L17" s="64" t="e">
        <f>AVERAGE(L13:L16)</f>
        <v>#DIV/0!</v>
      </c>
      <c r="M17" s="64" t="e">
        <f aca="true" t="shared" si="0" ref="M17:BR17">AVERAGE(M13:M16)</f>
        <v>#DIV/0!</v>
      </c>
      <c r="N17" s="64" t="e">
        <f t="shared" si="0"/>
        <v>#DIV/0!</v>
      </c>
      <c r="O17" s="64" t="e">
        <f t="shared" si="0"/>
        <v>#DIV/0!</v>
      </c>
      <c r="P17" s="64" t="e">
        <f t="shared" si="0"/>
        <v>#DIV/0!</v>
      </c>
      <c r="Q17" s="64" t="e">
        <f t="shared" si="0"/>
        <v>#DIV/0!</v>
      </c>
      <c r="R17" s="64" t="e">
        <f t="shared" si="0"/>
        <v>#DIV/0!</v>
      </c>
      <c r="S17" s="64" t="e">
        <f t="shared" si="0"/>
        <v>#DIV/0!</v>
      </c>
      <c r="T17" s="64" t="e">
        <f t="shared" si="0"/>
        <v>#DIV/0!</v>
      </c>
      <c r="U17" s="64" t="e">
        <f t="shared" si="0"/>
        <v>#DIV/0!</v>
      </c>
      <c r="V17" s="64" t="e">
        <f t="shared" si="0"/>
        <v>#DIV/0!</v>
      </c>
      <c r="W17" s="64" t="e">
        <f t="shared" si="0"/>
        <v>#DIV/0!</v>
      </c>
      <c r="X17" s="64" t="e">
        <f t="shared" si="0"/>
        <v>#DIV/0!</v>
      </c>
      <c r="Y17" s="64" t="e">
        <f t="shared" si="0"/>
        <v>#DIV/0!</v>
      </c>
      <c r="Z17" s="64" t="e">
        <f t="shared" si="0"/>
        <v>#DIV/0!</v>
      </c>
      <c r="AA17" s="64" t="e">
        <f t="shared" si="0"/>
        <v>#DIV/0!</v>
      </c>
      <c r="AB17" s="64" t="e">
        <f t="shared" si="0"/>
        <v>#DIV/0!</v>
      </c>
      <c r="AC17" s="64" t="e">
        <f t="shared" si="0"/>
        <v>#DIV/0!</v>
      </c>
      <c r="AD17" s="64" t="e">
        <f t="shared" si="0"/>
        <v>#DIV/0!</v>
      </c>
      <c r="AE17" s="64" t="e">
        <f t="shared" si="0"/>
        <v>#DIV/0!</v>
      </c>
      <c r="AF17" s="64" t="e">
        <f t="shared" si="0"/>
        <v>#DIV/0!</v>
      </c>
      <c r="AG17" s="64" t="e">
        <f t="shared" si="0"/>
        <v>#DIV/0!</v>
      </c>
      <c r="AH17" s="64" t="e">
        <f t="shared" si="0"/>
        <v>#DIV/0!</v>
      </c>
      <c r="AI17" s="64" t="e">
        <f t="shared" si="0"/>
        <v>#DIV/0!</v>
      </c>
      <c r="AJ17" s="64" t="e">
        <f t="shared" si="0"/>
        <v>#DIV/0!</v>
      </c>
      <c r="AK17" s="64" t="e">
        <f t="shared" si="0"/>
        <v>#DIV/0!</v>
      </c>
      <c r="AL17" s="64" t="e">
        <f t="shared" si="0"/>
        <v>#DIV/0!</v>
      </c>
      <c r="AM17" s="64" t="e">
        <f t="shared" si="0"/>
        <v>#DIV/0!</v>
      </c>
      <c r="AN17" s="64" t="e">
        <f t="shared" si="0"/>
        <v>#DIV/0!</v>
      </c>
      <c r="AO17" s="64" t="e">
        <f t="shared" si="0"/>
        <v>#DIV/0!</v>
      </c>
      <c r="AP17" s="64" t="e">
        <f t="shared" si="0"/>
        <v>#DIV/0!</v>
      </c>
      <c r="AQ17" s="64" t="e">
        <f t="shared" si="0"/>
        <v>#DIV/0!</v>
      </c>
      <c r="AR17" s="64" t="e">
        <f t="shared" si="0"/>
        <v>#DIV/0!</v>
      </c>
      <c r="AS17" s="64" t="e">
        <f t="shared" si="0"/>
        <v>#DIV/0!</v>
      </c>
      <c r="AT17" s="64" t="e">
        <f t="shared" si="0"/>
        <v>#DIV/0!</v>
      </c>
      <c r="AU17" s="64" t="e">
        <f t="shared" si="0"/>
        <v>#DIV/0!</v>
      </c>
      <c r="AV17" s="64" t="e">
        <f t="shared" si="0"/>
        <v>#DIV/0!</v>
      </c>
      <c r="AW17" s="64" t="e">
        <f t="shared" si="0"/>
        <v>#DIV/0!</v>
      </c>
      <c r="AX17" s="64" t="e">
        <f t="shared" si="0"/>
        <v>#DIV/0!</v>
      </c>
      <c r="AY17" s="64" t="e">
        <f t="shared" si="0"/>
        <v>#DIV/0!</v>
      </c>
      <c r="AZ17" s="64" t="e">
        <f t="shared" si="0"/>
        <v>#DIV/0!</v>
      </c>
      <c r="BA17" s="64" t="e">
        <f t="shared" si="0"/>
        <v>#DIV/0!</v>
      </c>
      <c r="BB17" s="64" t="e">
        <f t="shared" si="0"/>
        <v>#DIV/0!</v>
      </c>
      <c r="BC17" s="64" t="e">
        <f t="shared" si="0"/>
        <v>#DIV/0!</v>
      </c>
      <c r="BD17" s="64" t="e">
        <f t="shared" si="0"/>
        <v>#DIV/0!</v>
      </c>
      <c r="BE17" s="64" t="e">
        <f t="shared" si="0"/>
        <v>#DIV/0!</v>
      </c>
      <c r="BF17" s="64" t="e">
        <f t="shared" si="0"/>
        <v>#DIV/0!</v>
      </c>
      <c r="BG17" s="64" t="e">
        <f t="shared" si="0"/>
        <v>#DIV/0!</v>
      </c>
      <c r="BH17" s="64" t="e">
        <f t="shared" si="0"/>
        <v>#DIV/0!</v>
      </c>
      <c r="BI17" s="64" t="e">
        <f t="shared" si="0"/>
        <v>#DIV/0!</v>
      </c>
      <c r="BJ17" s="64" t="e">
        <f t="shared" si="0"/>
        <v>#DIV/0!</v>
      </c>
      <c r="BK17" s="64" t="e">
        <f t="shared" si="0"/>
        <v>#DIV/0!</v>
      </c>
      <c r="BL17" s="64" t="e">
        <f t="shared" si="0"/>
        <v>#DIV/0!</v>
      </c>
      <c r="BM17" s="64" t="e">
        <f t="shared" si="0"/>
        <v>#DIV/0!</v>
      </c>
      <c r="BN17" s="64" t="e">
        <f t="shared" si="0"/>
        <v>#DIV/0!</v>
      </c>
      <c r="BO17" s="64" t="e">
        <f t="shared" si="0"/>
        <v>#DIV/0!</v>
      </c>
      <c r="BP17" s="64" t="e">
        <f t="shared" si="0"/>
        <v>#DIV/0!</v>
      </c>
      <c r="BQ17" s="64" t="e">
        <f t="shared" si="0"/>
        <v>#DIV/0!</v>
      </c>
      <c r="BR17" s="64" t="e">
        <f t="shared" si="0"/>
        <v>#DIV/0!</v>
      </c>
      <c r="BS17" s="704"/>
    </row>
    <row r="18" spans="1:72" s="26" customFormat="1" ht="12.75">
      <c r="A18" s="32" t="s">
        <v>452</v>
      </c>
      <c r="B18" s="32" t="s">
        <v>0</v>
      </c>
      <c r="C18" s="24"/>
      <c r="D18" s="24"/>
      <c r="E18" s="24"/>
      <c r="F18" s="24"/>
      <c r="G18" s="24"/>
      <c r="H18" s="24"/>
      <c r="I18" s="24"/>
      <c r="J18" s="24"/>
      <c r="K18" s="24"/>
      <c r="L18" s="24"/>
      <c r="BT18" s="704"/>
    </row>
    <row r="19" spans="1:71" s="759" customFormat="1" ht="12.75">
      <c r="A19" s="708"/>
      <c r="B19" s="702"/>
      <c r="C19" s="702"/>
      <c r="D19" s="702"/>
      <c r="E19" s="702"/>
      <c r="F19" s="703"/>
      <c r="G19" s="703"/>
      <c r="H19" s="702"/>
      <c r="I19" s="708"/>
      <c r="J19" s="702"/>
      <c r="K19" s="702"/>
      <c r="L19" s="702"/>
      <c r="M19" s="702"/>
      <c r="N19" s="702"/>
      <c r="O19" s="702"/>
      <c r="P19" s="702"/>
      <c r="Q19" s="702"/>
      <c r="R19" s="702"/>
      <c r="S19" s="702"/>
      <c r="T19" s="702"/>
      <c r="U19" s="702"/>
      <c r="V19" s="702"/>
      <c r="W19" s="702"/>
      <c r="X19" s="702"/>
      <c r="Y19" s="702"/>
      <c r="Z19" s="702"/>
      <c r="AA19" s="702"/>
      <c r="AB19" s="702"/>
      <c r="AC19" s="702"/>
      <c r="AD19" s="702"/>
      <c r="AE19" s="702"/>
      <c r="AF19" s="702"/>
      <c r="AG19" s="702"/>
      <c r="AH19" s="702"/>
      <c r="AI19" s="702"/>
      <c r="AJ19" s="702"/>
      <c r="AK19" s="702"/>
      <c r="AL19" s="702"/>
      <c r="AM19" s="702"/>
      <c r="AN19" s="702"/>
      <c r="AO19" s="702"/>
      <c r="AP19" s="702"/>
      <c r="AQ19" s="702"/>
      <c r="AR19" s="702"/>
      <c r="AS19" s="702"/>
      <c r="AT19" s="702"/>
      <c r="AU19" s="702"/>
      <c r="AV19" s="702"/>
      <c r="AW19" s="702"/>
      <c r="AX19" s="702"/>
      <c r="AY19" s="702"/>
      <c r="AZ19" s="702"/>
      <c r="BA19" s="702"/>
      <c r="BB19" s="702"/>
      <c r="BC19" s="702"/>
      <c r="BD19" s="702"/>
      <c r="BE19" s="702"/>
      <c r="BF19" s="702"/>
      <c r="BG19" s="702"/>
      <c r="BH19" s="702"/>
      <c r="BI19" s="702"/>
      <c r="BJ19" s="702"/>
      <c r="BK19" s="702"/>
      <c r="BL19" s="702"/>
      <c r="BM19" s="702"/>
      <c r="BN19" s="702"/>
      <c r="BO19" s="702"/>
      <c r="BP19" s="702"/>
      <c r="BQ19" s="702"/>
      <c r="BR19" s="702"/>
      <c r="BS19" s="799"/>
    </row>
    <row r="20" spans="1:11" s="26" customFormat="1" ht="12.75">
      <c r="A20" s="24"/>
      <c r="B20" s="24"/>
      <c r="C20" s="24"/>
      <c r="D20" s="24"/>
      <c r="E20" s="24"/>
      <c r="F20" s="24"/>
      <c r="G20" s="24"/>
      <c r="H20" s="24"/>
      <c r="I20" s="24"/>
      <c r="J20" s="24"/>
      <c r="K20" s="24"/>
    </row>
    <row r="21" spans="1:11" s="26" customFormat="1" ht="12.75">
      <c r="A21" s="60"/>
      <c r="B21" s="24"/>
      <c r="C21" s="24"/>
      <c r="D21" s="24"/>
      <c r="E21" s="24"/>
      <c r="F21" s="24"/>
      <c r="G21" s="24"/>
      <c r="H21" s="24"/>
      <c r="I21" s="24"/>
      <c r="J21" s="24"/>
      <c r="K21" s="24"/>
    </row>
    <row r="22" spans="1:11" s="26" customFormat="1" ht="12.75">
      <c r="A22" s="24"/>
      <c r="B22" s="24"/>
      <c r="C22" s="24"/>
      <c r="D22" s="24"/>
      <c r="E22" s="24"/>
      <c r="F22" s="65"/>
      <c r="G22" s="65"/>
      <c r="H22" s="24"/>
      <c r="I22" s="24"/>
      <c r="J22" s="24"/>
      <c r="K22" s="24"/>
    </row>
    <row r="23" spans="1:11" s="26" customFormat="1" ht="12.75">
      <c r="A23" s="32" t="s">
        <v>453</v>
      </c>
      <c r="B23" s="32" t="s">
        <v>643</v>
      </c>
      <c r="C23" s="24"/>
      <c r="D23" s="24"/>
      <c r="E23" s="24"/>
      <c r="F23" s="65"/>
      <c r="G23" s="65"/>
      <c r="H23" s="24"/>
      <c r="I23" s="24"/>
      <c r="J23" s="24"/>
      <c r="K23" s="24"/>
    </row>
    <row r="24" spans="1:70" s="26" customFormat="1" ht="12.75">
      <c r="A24" s="24"/>
      <c r="B24" s="24"/>
      <c r="C24" s="24"/>
      <c r="D24" s="24"/>
      <c r="E24" s="24"/>
      <c r="F24" s="24"/>
      <c r="G24" s="24"/>
      <c r="H24" s="24"/>
      <c r="I24" s="24"/>
      <c r="J24" s="24"/>
      <c r="K24" s="24" t="s">
        <v>120</v>
      </c>
      <c r="L24" s="26" t="s">
        <v>121</v>
      </c>
      <c r="M24" s="26" t="s">
        <v>122</v>
      </c>
      <c r="N24" s="26" t="s">
        <v>123</v>
      </c>
      <c r="O24" s="26" t="s">
        <v>124</v>
      </c>
      <c r="P24" s="26" t="s">
        <v>124</v>
      </c>
      <c r="Q24" s="26" t="s">
        <v>125</v>
      </c>
      <c r="R24" s="26" t="s">
        <v>331</v>
      </c>
      <c r="S24" s="26" t="s">
        <v>126</v>
      </c>
      <c r="T24" s="26" t="s">
        <v>127</v>
      </c>
      <c r="U24" s="26" t="s">
        <v>128</v>
      </c>
      <c r="V24" s="26" t="s">
        <v>129</v>
      </c>
      <c r="W24" s="26" t="s">
        <v>130</v>
      </c>
      <c r="Y24" s="26" t="s">
        <v>121</v>
      </c>
      <c r="Z24" s="26" t="s">
        <v>122</v>
      </c>
      <c r="AA24" s="26" t="s">
        <v>123</v>
      </c>
      <c r="AB24" s="26" t="s">
        <v>124</v>
      </c>
      <c r="AC24" s="26" t="s">
        <v>124</v>
      </c>
      <c r="AD24" s="26" t="s">
        <v>125</v>
      </c>
      <c r="AE24" s="26" t="s">
        <v>331</v>
      </c>
      <c r="AF24" s="26" t="s">
        <v>126</v>
      </c>
      <c r="AG24" s="26" t="s">
        <v>127</v>
      </c>
      <c r="AH24" s="26" t="s">
        <v>128</v>
      </c>
      <c r="AI24" s="26" t="s">
        <v>129</v>
      </c>
      <c r="AJ24" s="26" t="s">
        <v>130</v>
      </c>
      <c r="AK24" s="26" t="s">
        <v>121</v>
      </c>
      <c r="AL24" s="26" t="s">
        <v>122</v>
      </c>
      <c r="AM24" s="26" t="s">
        <v>123</v>
      </c>
      <c r="AN24" s="26" t="s">
        <v>124</v>
      </c>
      <c r="AO24" s="26" t="s">
        <v>124</v>
      </c>
      <c r="AP24" s="26" t="s">
        <v>125</v>
      </c>
      <c r="AQ24" s="26" t="s">
        <v>331</v>
      </c>
      <c r="AR24" s="26" t="s">
        <v>126</v>
      </c>
      <c r="AS24" s="26" t="s">
        <v>127</v>
      </c>
      <c r="AT24" s="26" t="s">
        <v>128</v>
      </c>
      <c r="AU24" s="26" t="s">
        <v>129</v>
      </c>
      <c r="AV24" s="26" t="s">
        <v>130</v>
      </c>
      <c r="AW24" s="26" t="s">
        <v>131</v>
      </c>
      <c r="AX24" s="26" t="s">
        <v>121</v>
      </c>
      <c r="AY24" s="26" t="s">
        <v>122</v>
      </c>
      <c r="AZ24" s="26" t="s">
        <v>123</v>
      </c>
      <c r="BA24" s="26" t="s">
        <v>124</v>
      </c>
      <c r="BB24" s="26" t="s">
        <v>124</v>
      </c>
      <c r="BC24" s="26" t="s">
        <v>125</v>
      </c>
      <c r="BD24" s="26" t="s">
        <v>331</v>
      </c>
      <c r="BE24" s="26" t="s">
        <v>126</v>
      </c>
      <c r="BF24" s="26" t="s">
        <v>127</v>
      </c>
      <c r="BG24" s="26" t="s">
        <v>128</v>
      </c>
      <c r="BH24" s="26" t="s">
        <v>129</v>
      </c>
      <c r="BI24" s="26" t="s">
        <v>130</v>
      </c>
      <c r="BK24" s="26" t="s">
        <v>131</v>
      </c>
      <c r="BL24" s="26" t="s">
        <v>131</v>
      </c>
      <c r="BM24" s="26" t="s">
        <v>131</v>
      </c>
      <c r="BN24" s="26" t="s">
        <v>131</v>
      </c>
      <c r="BO24" s="26" t="s">
        <v>332</v>
      </c>
      <c r="BP24" s="26" t="s">
        <v>332</v>
      </c>
      <c r="BQ24" s="26" t="s">
        <v>366</v>
      </c>
      <c r="BR24" s="26" t="s">
        <v>366</v>
      </c>
    </row>
    <row r="25" spans="1:70" s="26" customFormat="1" ht="12.75">
      <c r="A25" s="24" t="s">
        <v>132</v>
      </c>
      <c r="B25" s="24" t="s">
        <v>133</v>
      </c>
      <c r="C25" s="24" t="s">
        <v>134</v>
      </c>
      <c r="D25" s="24" t="s">
        <v>135</v>
      </c>
      <c r="E25" s="24" t="s">
        <v>136</v>
      </c>
      <c r="F25" s="24" t="s">
        <v>137</v>
      </c>
      <c r="G25" s="24" t="s">
        <v>137</v>
      </c>
      <c r="H25" s="24"/>
      <c r="I25" s="24"/>
      <c r="J25" s="24"/>
      <c r="K25" s="24" t="s">
        <v>138</v>
      </c>
      <c r="L25" s="26" t="s">
        <v>139</v>
      </c>
      <c r="M25" s="26" t="s">
        <v>139</v>
      </c>
      <c r="N25" s="26" t="s">
        <v>140</v>
      </c>
      <c r="O25" s="26" t="s">
        <v>141</v>
      </c>
      <c r="P25" s="26" t="s">
        <v>364</v>
      </c>
      <c r="Q25" s="26" t="s">
        <v>142</v>
      </c>
      <c r="R25" s="26" t="s">
        <v>143</v>
      </c>
      <c r="S25" s="26" t="s">
        <v>144</v>
      </c>
      <c r="T25" s="26" t="s">
        <v>145</v>
      </c>
      <c r="U25" s="26" t="s">
        <v>146</v>
      </c>
      <c r="V25" s="26" t="s">
        <v>147</v>
      </c>
      <c r="W25" s="26" t="s">
        <v>148</v>
      </c>
      <c r="X25" s="26" t="s">
        <v>332</v>
      </c>
      <c r="Y25" s="26" t="s">
        <v>139</v>
      </c>
      <c r="Z25" s="26" t="s">
        <v>139</v>
      </c>
      <c r="AA25" s="26" t="s">
        <v>140</v>
      </c>
      <c r="AB25" s="26" t="s">
        <v>141</v>
      </c>
      <c r="AC25" s="26" t="s">
        <v>364</v>
      </c>
      <c r="AD25" s="26" t="s">
        <v>142</v>
      </c>
      <c r="AE25" s="26" t="s">
        <v>143</v>
      </c>
      <c r="AF25" s="26" t="s">
        <v>144</v>
      </c>
      <c r="AG25" s="26" t="s">
        <v>145</v>
      </c>
      <c r="AH25" s="26" t="s">
        <v>146</v>
      </c>
      <c r="AI25" s="26" t="s">
        <v>147</v>
      </c>
      <c r="AJ25" s="26" t="s">
        <v>148</v>
      </c>
      <c r="AK25" s="26" t="s">
        <v>139</v>
      </c>
      <c r="AL25" s="26" t="s">
        <v>139</v>
      </c>
      <c r="AM25" s="26" t="s">
        <v>140</v>
      </c>
      <c r="AN25" s="26" t="s">
        <v>141</v>
      </c>
      <c r="AO25" s="26" t="s">
        <v>364</v>
      </c>
      <c r="AP25" s="26" t="s">
        <v>142</v>
      </c>
      <c r="AQ25" s="26" t="s">
        <v>143</v>
      </c>
      <c r="AR25" s="26" t="s">
        <v>144</v>
      </c>
      <c r="AS25" s="26" t="s">
        <v>145</v>
      </c>
      <c r="AT25" s="26" t="s">
        <v>146</v>
      </c>
      <c r="AU25" s="26" t="s">
        <v>147</v>
      </c>
      <c r="AV25" s="26" t="s">
        <v>148</v>
      </c>
      <c r="AW25" s="26" t="s">
        <v>332</v>
      </c>
      <c r="AX25" s="26" t="s">
        <v>139</v>
      </c>
      <c r="AY25" s="26" t="s">
        <v>139</v>
      </c>
      <c r="AZ25" s="26" t="s">
        <v>140</v>
      </c>
      <c r="BA25" s="26" t="s">
        <v>141</v>
      </c>
      <c r="BB25" s="26" t="s">
        <v>364</v>
      </c>
      <c r="BC25" s="26" t="s">
        <v>142</v>
      </c>
      <c r="BD25" s="26" t="s">
        <v>143</v>
      </c>
      <c r="BE25" s="26" t="s">
        <v>144</v>
      </c>
      <c r="BF25" s="26" t="s">
        <v>145</v>
      </c>
      <c r="BG25" s="26" t="s">
        <v>146</v>
      </c>
      <c r="BH25" s="26" t="s">
        <v>147</v>
      </c>
      <c r="BI25" s="26" t="s">
        <v>148</v>
      </c>
      <c r="BJ25" s="26" t="s">
        <v>332</v>
      </c>
      <c r="BK25" s="26" t="s">
        <v>374</v>
      </c>
      <c r="BL25" s="26" t="s">
        <v>149</v>
      </c>
      <c r="BM25" s="26" t="s">
        <v>374</v>
      </c>
      <c r="BN25" s="26" t="s">
        <v>149</v>
      </c>
      <c r="BO25" s="26" t="s">
        <v>366</v>
      </c>
      <c r="BP25" s="26" t="s">
        <v>255</v>
      </c>
      <c r="BQ25" s="26" t="s">
        <v>83</v>
      </c>
      <c r="BR25" s="26" t="s">
        <v>84</v>
      </c>
    </row>
    <row r="26" spans="1:70" s="26" customFormat="1" ht="13.5" thickBot="1">
      <c r="A26" s="62" t="s">
        <v>256</v>
      </c>
      <c r="B26" s="62" t="s">
        <v>257</v>
      </c>
      <c r="C26" s="62" t="s">
        <v>258</v>
      </c>
      <c r="D26" s="62" t="s">
        <v>259</v>
      </c>
      <c r="E26" s="62" t="s">
        <v>260</v>
      </c>
      <c r="F26" s="62" t="s">
        <v>261</v>
      </c>
      <c r="G26" s="62" t="s">
        <v>75</v>
      </c>
      <c r="H26" s="62" t="s">
        <v>76</v>
      </c>
      <c r="I26" s="62" t="s">
        <v>77</v>
      </c>
      <c r="J26" s="62" t="s">
        <v>78</v>
      </c>
      <c r="K26" s="62" t="s">
        <v>378</v>
      </c>
      <c r="L26" s="63" t="s">
        <v>83</v>
      </c>
      <c r="M26" s="63" t="s">
        <v>83</v>
      </c>
      <c r="N26" s="63" t="s">
        <v>83</v>
      </c>
      <c r="O26" s="63" t="s">
        <v>83</v>
      </c>
      <c r="P26" s="63" t="s">
        <v>83</v>
      </c>
      <c r="Q26" s="63" t="s">
        <v>83</v>
      </c>
      <c r="R26" s="63" t="s">
        <v>83</v>
      </c>
      <c r="S26" s="63" t="s">
        <v>83</v>
      </c>
      <c r="T26" s="63" t="s">
        <v>83</v>
      </c>
      <c r="U26" s="63" t="s">
        <v>83</v>
      </c>
      <c r="V26" s="63" t="s">
        <v>83</v>
      </c>
      <c r="W26" s="63" t="s">
        <v>83</v>
      </c>
      <c r="X26" s="63" t="s">
        <v>83</v>
      </c>
      <c r="Y26" s="63" t="s">
        <v>84</v>
      </c>
      <c r="Z26" s="63" t="s">
        <v>84</v>
      </c>
      <c r="AA26" s="63" t="s">
        <v>84</v>
      </c>
      <c r="AB26" s="63" t="s">
        <v>84</v>
      </c>
      <c r="AC26" s="63" t="s">
        <v>84</v>
      </c>
      <c r="AD26" s="63" t="s">
        <v>84</v>
      </c>
      <c r="AE26" s="63" t="s">
        <v>84</v>
      </c>
      <c r="AF26" s="63" t="s">
        <v>84</v>
      </c>
      <c r="AG26" s="63" t="s">
        <v>84</v>
      </c>
      <c r="AH26" s="63" t="s">
        <v>84</v>
      </c>
      <c r="AI26" s="63" t="s">
        <v>84</v>
      </c>
      <c r="AJ26" s="63" t="s">
        <v>84</v>
      </c>
      <c r="AK26" s="63" t="s">
        <v>84</v>
      </c>
      <c r="AL26" s="63" t="s">
        <v>84</v>
      </c>
      <c r="AM26" s="63" t="s">
        <v>84</v>
      </c>
      <c r="AN26" s="63" t="s">
        <v>84</v>
      </c>
      <c r="AO26" s="63" t="s">
        <v>84</v>
      </c>
      <c r="AP26" s="63" t="s">
        <v>84</v>
      </c>
      <c r="AQ26" s="63" t="s">
        <v>84</v>
      </c>
      <c r="AR26" s="63" t="s">
        <v>84</v>
      </c>
      <c r="AS26" s="63" t="s">
        <v>84</v>
      </c>
      <c r="AT26" s="63" t="s">
        <v>84</v>
      </c>
      <c r="AU26" s="63" t="s">
        <v>84</v>
      </c>
      <c r="AV26" s="63" t="s">
        <v>84</v>
      </c>
      <c r="AW26" s="63" t="s">
        <v>84</v>
      </c>
      <c r="AX26" s="63" t="s">
        <v>365</v>
      </c>
      <c r="AY26" s="63" t="s">
        <v>365</v>
      </c>
      <c r="AZ26" s="63" t="s">
        <v>365</v>
      </c>
      <c r="BA26" s="63" t="s">
        <v>365</v>
      </c>
      <c r="BB26" s="63" t="s">
        <v>365</v>
      </c>
      <c r="BC26" s="63" t="s">
        <v>365</v>
      </c>
      <c r="BD26" s="63" t="s">
        <v>365</v>
      </c>
      <c r="BE26" s="63" t="s">
        <v>365</v>
      </c>
      <c r="BF26" s="63" t="s">
        <v>365</v>
      </c>
      <c r="BG26" s="63" t="s">
        <v>365</v>
      </c>
      <c r="BH26" s="63" t="s">
        <v>365</v>
      </c>
      <c r="BI26" s="63" t="s">
        <v>365</v>
      </c>
      <c r="BJ26" s="63" t="s">
        <v>365</v>
      </c>
      <c r="BK26" s="63" t="s">
        <v>79</v>
      </c>
      <c r="BL26" s="63" t="s">
        <v>80</v>
      </c>
      <c r="BM26" s="63" t="s">
        <v>81</v>
      </c>
      <c r="BN26" s="63" t="s">
        <v>367</v>
      </c>
      <c r="BO26" s="63" t="s">
        <v>85</v>
      </c>
      <c r="BP26" s="63" t="s">
        <v>85</v>
      </c>
      <c r="BQ26" s="63" t="s">
        <v>85</v>
      </c>
      <c r="BR26" s="63" t="s">
        <v>85</v>
      </c>
    </row>
    <row r="27" spans="1:70" s="1" customFormat="1" ht="12.75">
      <c r="A27" s="702"/>
      <c r="B27" s="702"/>
      <c r="C27" s="702"/>
      <c r="D27" s="702"/>
      <c r="E27" s="702"/>
      <c r="F27" s="703"/>
      <c r="G27" s="703"/>
      <c r="H27" s="702"/>
      <c r="I27" s="702"/>
      <c r="J27" s="702"/>
      <c r="K27" s="702"/>
      <c r="L27" s="702"/>
      <c r="M27" s="702"/>
      <c r="N27" s="702"/>
      <c r="O27" s="702"/>
      <c r="P27" s="702"/>
      <c r="Q27" s="702"/>
      <c r="R27" s="702"/>
      <c r="S27" s="702"/>
      <c r="T27" s="702"/>
      <c r="U27" s="702"/>
      <c r="V27" s="702"/>
      <c r="W27" s="702"/>
      <c r="X27" s="702"/>
      <c r="Y27" s="702"/>
      <c r="Z27" s="702"/>
      <c r="AA27" s="702"/>
      <c r="AB27" s="702"/>
      <c r="AC27" s="702"/>
      <c r="AD27" s="702"/>
      <c r="AE27" s="702"/>
      <c r="AF27" s="702"/>
      <c r="AG27" s="702"/>
      <c r="AH27" s="702"/>
      <c r="AI27" s="702"/>
      <c r="AJ27" s="702"/>
      <c r="AK27" s="702"/>
      <c r="AL27" s="702"/>
      <c r="AM27" s="702"/>
      <c r="AN27" s="702"/>
      <c r="AO27" s="702"/>
      <c r="AP27" s="702"/>
      <c r="AQ27" s="702"/>
      <c r="AR27" s="702"/>
      <c r="AS27" s="702"/>
      <c r="AT27" s="702"/>
      <c r="AU27" s="702"/>
      <c r="AV27" s="702"/>
      <c r="AW27" s="702"/>
      <c r="AX27" s="702"/>
      <c r="AY27" s="702"/>
      <c r="AZ27" s="702"/>
      <c r="BA27" s="702"/>
      <c r="BB27" s="702"/>
      <c r="BC27" s="702"/>
      <c r="BD27" s="702"/>
      <c r="BE27" s="702"/>
      <c r="BF27" s="702"/>
      <c r="BG27" s="702"/>
      <c r="BH27" s="702"/>
      <c r="BI27" s="702"/>
      <c r="BJ27" s="702"/>
      <c r="BK27" s="702"/>
      <c r="BL27" s="702"/>
      <c r="BM27" s="702"/>
      <c r="BN27" s="702"/>
      <c r="BO27" s="702"/>
      <c r="BP27" s="702"/>
      <c r="BQ27" s="702"/>
      <c r="BR27" s="702"/>
    </row>
    <row r="28" spans="1:70" s="1" customFormat="1" ht="12.75">
      <c r="A28" s="702"/>
      <c r="B28" s="702"/>
      <c r="C28" s="702"/>
      <c r="D28" s="702"/>
      <c r="E28" s="702"/>
      <c r="F28" s="703"/>
      <c r="G28" s="703"/>
      <c r="H28" s="702"/>
      <c r="I28" s="702"/>
      <c r="J28" s="702"/>
      <c r="K28" s="702"/>
      <c r="L28" s="702"/>
      <c r="M28" s="702"/>
      <c r="N28" s="702"/>
      <c r="O28" s="702"/>
      <c r="P28" s="702"/>
      <c r="Q28" s="702"/>
      <c r="R28" s="702"/>
      <c r="S28" s="702"/>
      <c r="T28" s="702"/>
      <c r="U28" s="702"/>
      <c r="V28" s="702"/>
      <c r="W28" s="702"/>
      <c r="X28" s="702"/>
      <c r="Y28" s="702"/>
      <c r="Z28" s="702"/>
      <c r="AA28" s="702"/>
      <c r="AB28" s="702"/>
      <c r="AC28" s="702"/>
      <c r="AD28" s="702"/>
      <c r="AE28" s="702"/>
      <c r="AF28" s="702"/>
      <c r="AG28" s="702"/>
      <c r="AH28" s="702"/>
      <c r="AI28" s="702"/>
      <c r="AJ28" s="702"/>
      <c r="AK28" s="702"/>
      <c r="AL28" s="702"/>
      <c r="AM28" s="702"/>
      <c r="AN28" s="702"/>
      <c r="AO28" s="702"/>
      <c r="AP28" s="702"/>
      <c r="AQ28" s="702"/>
      <c r="AR28" s="702"/>
      <c r="AS28" s="702"/>
      <c r="AT28" s="702"/>
      <c r="AU28" s="702"/>
      <c r="AV28" s="702"/>
      <c r="AW28" s="702"/>
      <c r="AX28" s="702"/>
      <c r="AY28" s="702"/>
      <c r="AZ28" s="702"/>
      <c r="BA28" s="702"/>
      <c r="BB28" s="702"/>
      <c r="BC28" s="702"/>
      <c r="BD28" s="702"/>
      <c r="BE28" s="702"/>
      <c r="BF28" s="702"/>
      <c r="BG28" s="702"/>
      <c r="BH28" s="702"/>
      <c r="BI28" s="702"/>
      <c r="BJ28" s="702"/>
      <c r="BK28" s="702"/>
      <c r="BL28" s="702"/>
      <c r="BM28" s="702"/>
      <c r="BN28" s="702"/>
      <c r="BO28" s="702"/>
      <c r="BP28" s="702"/>
      <c r="BQ28" s="702"/>
      <c r="BR28" s="702"/>
    </row>
    <row r="29" spans="1:70" s="1" customFormat="1" ht="12.75">
      <c r="A29" s="702"/>
      <c r="B29" s="702"/>
      <c r="C29" s="702"/>
      <c r="D29" s="702"/>
      <c r="E29" s="702"/>
      <c r="F29" s="703"/>
      <c r="G29" s="703"/>
      <c r="H29" s="702"/>
      <c r="I29" s="702"/>
      <c r="J29" s="702"/>
      <c r="K29" s="702"/>
      <c r="L29" s="702"/>
      <c r="M29" s="702"/>
      <c r="N29" s="702"/>
      <c r="O29" s="702"/>
      <c r="P29" s="702"/>
      <c r="Q29" s="702"/>
      <c r="R29" s="702"/>
      <c r="S29" s="702"/>
      <c r="T29" s="702"/>
      <c r="U29" s="702"/>
      <c r="V29" s="702"/>
      <c r="W29" s="702"/>
      <c r="X29" s="702"/>
      <c r="Y29" s="702"/>
      <c r="Z29" s="702"/>
      <c r="AA29" s="702"/>
      <c r="AB29" s="702"/>
      <c r="AC29" s="702"/>
      <c r="AD29" s="702"/>
      <c r="AE29" s="702"/>
      <c r="AF29" s="702"/>
      <c r="AG29" s="702"/>
      <c r="AH29" s="702"/>
      <c r="AI29" s="702"/>
      <c r="AJ29" s="702"/>
      <c r="AK29" s="702"/>
      <c r="AL29" s="702"/>
      <c r="AM29" s="702"/>
      <c r="AN29" s="702"/>
      <c r="AO29" s="702"/>
      <c r="AP29" s="702"/>
      <c r="AQ29" s="702"/>
      <c r="AR29" s="702"/>
      <c r="AS29" s="702"/>
      <c r="AT29" s="702"/>
      <c r="AU29" s="702"/>
      <c r="AV29" s="702"/>
      <c r="AW29" s="702"/>
      <c r="AX29" s="702"/>
      <c r="AY29" s="702"/>
      <c r="AZ29" s="702"/>
      <c r="BA29" s="702"/>
      <c r="BB29" s="702"/>
      <c r="BC29" s="702"/>
      <c r="BD29" s="702"/>
      <c r="BE29" s="702"/>
      <c r="BF29" s="702"/>
      <c r="BG29" s="702"/>
      <c r="BH29" s="702"/>
      <c r="BI29" s="702"/>
      <c r="BJ29" s="702"/>
      <c r="BK29" s="702"/>
      <c r="BL29" s="702"/>
      <c r="BM29" s="702"/>
      <c r="BN29" s="702"/>
      <c r="BO29" s="702"/>
      <c r="BP29" s="702"/>
      <c r="BQ29" s="702"/>
      <c r="BR29" s="702"/>
    </row>
    <row r="30" spans="1:70" s="1" customFormat="1" ht="12.75">
      <c r="A30" s="702"/>
      <c r="B30" s="702"/>
      <c r="C30" s="702"/>
      <c r="D30" s="702"/>
      <c r="E30" s="702"/>
      <c r="F30" s="703"/>
      <c r="G30" s="703"/>
      <c r="H30" s="702"/>
      <c r="I30" s="702"/>
      <c r="J30" s="702"/>
      <c r="K30" s="702"/>
      <c r="L30" s="702"/>
      <c r="M30" s="702"/>
      <c r="N30" s="702"/>
      <c r="O30" s="702"/>
      <c r="P30" s="702"/>
      <c r="Q30" s="702"/>
      <c r="R30" s="702"/>
      <c r="S30" s="702"/>
      <c r="T30" s="702"/>
      <c r="U30" s="702"/>
      <c r="V30" s="702"/>
      <c r="W30" s="702"/>
      <c r="X30" s="702"/>
      <c r="Y30" s="702"/>
      <c r="Z30" s="702"/>
      <c r="AA30" s="702"/>
      <c r="AB30" s="702"/>
      <c r="AC30" s="702"/>
      <c r="AD30" s="702"/>
      <c r="AE30" s="702"/>
      <c r="AF30" s="702"/>
      <c r="AG30" s="702"/>
      <c r="AH30" s="702"/>
      <c r="AI30" s="702"/>
      <c r="AJ30" s="702"/>
      <c r="AK30" s="702"/>
      <c r="AL30" s="702"/>
      <c r="AM30" s="702"/>
      <c r="AN30" s="702"/>
      <c r="AO30" s="702"/>
      <c r="AP30" s="702"/>
      <c r="AQ30" s="702"/>
      <c r="AR30" s="702"/>
      <c r="AS30" s="702"/>
      <c r="AT30" s="702"/>
      <c r="AU30" s="702"/>
      <c r="AV30" s="702"/>
      <c r="AW30" s="702"/>
      <c r="AX30" s="702"/>
      <c r="AY30" s="702"/>
      <c r="AZ30" s="702"/>
      <c r="BA30" s="702"/>
      <c r="BB30" s="702"/>
      <c r="BC30" s="702"/>
      <c r="BD30" s="702"/>
      <c r="BE30" s="702"/>
      <c r="BF30" s="702"/>
      <c r="BG30" s="702"/>
      <c r="BH30" s="702"/>
      <c r="BI30" s="702"/>
      <c r="BJ30" s="702"/>
      <c r="BK30" s="702"/>
      <c r="BL30" s="702"/>
      <c r="BM30" s="702"/>
      <c r="BN30" s="702"/>
      <c r="BO30" s="702"/>
      <c r="BP30" s="702"/>
      <c r="BQ30" s="702"/>
      <c r="BR30" s="702"/>
    </row>
    <row r="31" spans="1:70" s="1" customFormat="1" ht="12.75">
      <c r="A31" s="702"/>
      <c r="B31" s="702"/>
      <c r="C31" s="702"/>
      <c r="D31" s="702"/>
      <c r="E31" s="702"/>
      <c r="F31" s="703"/>
      <c r="G31" s="703"/>
      <c r="H31" s="702"/>
      <c r="I31" s="702"/>
      <c r="J31" s="702"/>
      <c r="K31" s="702"/>
      <c r="L31" s="702"/>
      <c r="M31" s="702"/>
      <c r="N31" s="702"/>
      <c r="O31" s="702"/>
      <c r="P31" s="702"/>
      <c r="Q31" s="702"/>
      <c r="R31" s="702"/>
      <c r="S31" s="702"/>
      <c r="T31" s="702"/>
      <c r="U31" s="702"/>
      <c r="V31" s="702"/>
      <c r="W31" s="702"/>
      <c r="X31" s="702"/>
      <c r="Y31" s="702"/>
      <c r="Z31" s="702"/>
      <c r="AA31" s="702"/>
      <c r="AB31" s="702"/>
      <c r="AC31" s="702"/>
      <c r="AD31" s="702"/>
      <c r="AE31" s="702"/>
      <c r="AF31" s="702"/>
      <c r="AG31" s="702"/>
      <c r="AH31" s="702"/>
      <c r="AI31" s="702"/>
      <c r="AJ31" s="702"/>
      <c r="AK31" s="702"/>
      <c r="AL31" s="702"/>
      <c r="AM31" s="702"/>
      <c r="AN31" s="702"/>
      <c r="AO31" s="702"/>
      <c r="AP31" s="702"/>
      <c r="AQ31" s="702"/>
      <c r="AR31" s="702"/>
      <c r="AS31" s="702"/>
      <c r="AT31" s="702"/>
      <c r="AU31" s="702"/>
      <c r="AV31" s="702"/>
      <c r="AW31" s="702"/>
      <c r="AX31" s="702"/>
      <c r="AY31" s="702"/>
      <c r="AZ31" s="702"/>
      <c r="BA31" s="702"/>
      <c r="BB31" s="702"/>
      <c r="BC31" s="702"/>
      <c r="BD31" s="702"/>
      <c r="BE31" s="702"/>
      <c r="BF31" s="702"/>
      <c r="BG31" s="702"/>
      <c r="BH31" s="702"/>
      <c r="BI31" s="702"/>
      <c r="BJ31" s="702"/>
      <c r="BK31" s="702"/>
      <c r="BL31" s="702"/>
      <c r="BM31" s="702"/>
      <c r="BN31" s="702"/>
      <c r="BO31" s="702"/>
      <c r="BP31" s="702"/>
      <c r="BQ31" s="702"/>
      <c r="BR31" s="702"/>
    </row>
    <row r="32" spans="1:70" s="1" customFormat="1" ht="12.75">
      <c r="A32" s="702"/>
      <c r="B32" s="702"/>
      <c r="C32" s="702"/>
      <c r="D32" s="702"/>
      <c r="E32" s="702"/>
      <c r="F32" s="703"/>
      <c r="G32" s="703"/>
      <c r="H32" s="702"/>
      <c r="I32" s="702"/>
      <c r="J32" s="702"/>
      <c r="K32" s="702"/>
      <c r="L32" s="702"/>
      <c r="M32" s="702"/>
      <c r="N32" s="702"/>
      <c r="O32" s="702"/>
      <c r="P32" s="702"/>
      <c r="Q32" s="702"/>
      <c r="R32" s="702"/>
      <c r="S32" s="702"/>
      <c r="T32" s="702"/>
      <c r="U32" s="702"/>
      <c r="V32" s="702"/>
      <c r="W32" s="702"/>
      <c r="X32" s="702"/>
      <c r="Y32" s="702"/>
      <c r="Z32" s="702"/>
      <c r="AA32" s="702"/>
      <c r="AB32" s="702"/>
      <c r="AC32" s="702"/>
      <c r="AD32" s="702"/>
      <c r="AE32" s="702"/>
      <c r="AF32" s="702"/>
      <c r="AG32" s="702"/>
      <c r="AH32" s="702"/>
      <c r="AI32" s="702"/>
      <c r="AJ32" s="702"/>
      <c r="AK32" s="702"/>
      <c r="AL32" s="702"/>
      <c r="AM32" s="702"/>
      <c r="AN32" s="702"/>
      <c r="AO32" s="702"/>
      <c r="AP32" s="702"/>
      <c r="AQ32" s="702"/>
      <c r="AR32" s="702"/>
      <c r="AS32" s="702"/>
      <c r="AT32" s="702"/>
      <c r="AU32" s="702"/>
      <c r="AV32" s="702"/>
      <c r="AW32" s="702"/>
      <c r="AX32" s="702"/>
      <c r="AY32" s="702"/>
      <c r="AZ32" s="702"/>
      <c r="BA32" s="702"/>
      <c r="BB32" s="702"/>
      <c r="BC32" s="702"/>
      <c r="BD32" s="702"/>
      <c r="BE32" s="702"/>
      <c r="BF32" s="702"/>
      <c r="BG32" s="702"/>
      <c r="BH32" s="702"/>
      <c r="BI32" s="702"/>
      <c r="BJ32" s="702"/>
      <c r="BK32" s="702"/>
      <c r="BL32" s="702"/>
      <c r="BM32" s="702"/>
      <c r="BN32" s="702"/>
      <c r="BO32" s="702"/>
      <c r="BP32" s="702"/>
      <c r="BQ32" s="702"/>
      <c r="BR32" s="702"/>
    </row>
    <row r="33" spans="1:70" s="26" customFormat="1" ht="12.75">
      <c r="A33" s="705"/>
      <c r="B33" s="705"/>
      <c r="C33" s="705"/>
      <c r="D33" s="705"/>
      <c r="E33" s="705"/>
      <c r="F33" s="705"/>
      <c r="G33" s="705"/>
      <c r="H33" s="705"/>
      <c r="I33" s="705"/>
      <c r="J33" s="705"/>
      <c r="K33" s="705"/>
      <c r="L33" s="705"/>
      <c r="M33" s="705"/>
      <c r="N33" s="705"/>
      <c r="O33" s="705"/>
      <c r="P33" s="705"/>
      <c r="Q33" s="705"/>
      <c r="R33" s="705"/>
      <c r="S33" s="705"/>
      <c r="T33" s="705"/>
      <c r="U33" s="705"/>
      <c r="V33" s="705"/>
      <c r="W33" s="705"/>
      <c r="X33" s="705"/>
      <c r="Y33" s="705"/>
      <c r="Z33" s="705"/>
      <c r="AA33" s="705"/>
      <c r="AB33" s="705"/>
      <c r="AC33" s="705"/>
      <c r="AD33" s="705"/>
      <c r="AE33" s="705"/>
      <c r="AF33" s="705"/>
      <c r="AG33" s="705"/>
      <c r="AH33" s="705"/>
      <c r="AI33" s="705"/>
      <c r="AJ33" s="705"/>
      <c r="AK33" s="705"/>
      <c r="AL33" s="705"/>
      <c r="AM33" s="705"/>
      <c r="AN33" s="705"/>
      <c r="AO33" s="705"/>
      <c r="AP33" s="705"/>
      <c r="AQ33" s="705"/>
      <c r="AR33" s="705"/>
      <c r="AS33" s="705"/>
      <c r="AT33" s="705"/>
      <c r="AU33" s="705"/>
      <c r="AV33" s="705"/>
      <c r="AW33" s="705"/>
      <c r="AX33" s="705"/>
      <c r="AY33" s="705"/>
      <c r="AZ33" s="705"/>
      <c r="BA33" s="705"/>
      <c r="BB33" s="705"/>
      <c r="BC33" s="705"/>
      <c r="BD33" s="705"/>
      <c r="BE33" s="705"/>
      <c r="BF33" s="705"/>
      <c r="BG33" s="705"/>
      <c r="BH33" s="705"/>
      <c r="BI33" s="705"/>
      <c r="BJ33" s="705"/>
      <c r="BK33" s="705"/>
      <c r="BL33" s="705"/>
      <c r="BM33" s="705"/>
      <c r="BN33" s="705"/>
      <c r="BO33" s="705"/>
      <c r="BP33" s="705"/>
      <c r="BQ33" s="705"/>
      <c r="BR33" s="705"/>
    </row>
    <row r="34" spans="1:70" s="26" customFormat="1" ht="12.75">
      <c r="A34" s="705"/>
      <c r="B34" s="705"/>
      <c r="C34" s="705"/>
      <c r="D34" s="705"/>
      <c r="E34" s="705"/>
      <c r="F34" s="705"/>
      <c r="G34" s="705"/>
      <c r="H34" s="705"/>
      <c r="I34" s="705"/>
      <c r="J34" s="705"/>
      <c r="K34" s="705"/>
      <c r="L34" s="705"/>
      <c r="M34" s="705"/>
      <c r="N34" s="705"/>
      <c r="O34" s="705"/>
      <c r="P34" s="705"/>
      <c r="Q34" s="705"/>
      <c r="R34" s="705"/>
      <c r="S34" s="705"/>
      <c r="T34" s="705"/>
      <c r="U34" s="705"/>
      <c r="V34" s="705"/>
      <c r="W34" s="705"/>
      <c r="X34" s="705"/>
      <c r="Y34" s="705"/>
      <c r="Z34" s="705"/>
      <c r="AA34" s="705"/>
      <c r="AB34" s="705"/>
      <c r="AC34" s="705"/>
      <c r="AD34" s="705"/>
      <c r="AE34" s="705"/>
      <c r="AF34" s="705"/>
      <c r="AG34" s="705"/>
      <c r="AH34" s="705"/>
      <c r="AI34" s="705"/>
      <c r="AJ34" s="705"/>
      <c r="AK34" s="705"/>
      <c r="AL34" s="705"/>
      <c r="AM34" s="705"/>
      <c r="AN34" s="705"/>
      <c r="AO34" s="705"/>
      <c r="AP34" s="705"/>
      <c r="AQ34" s="705"/>
      <c r="AR34" s="705"/>
      <c r="AS34" s="705"/>
      <c r="AT34" s="705"/>
      <c r="AU34" s="705"/>
      <c r="AV34" s="705"/>
      <c r="AW34" s="705"/>
      <c r="AX34" s="705"/>
      <c r="AY34" s="705"/>
      <c r="AZ34" s="705"/>
      <c r="BA34" s="705"/>
      <c r="BB34" s="705"/>
      <c r="BC34" s="705"/>
      <c r="BD34" s="705"/>
      <c r="BE34" s="705"/>
      <c r="BF34" s="705"/>
      <c r="BG34" s="705"/>
      <c r="BH34" s="705"/>
      <c r="BI34" s="705"/>
      <c r="BJ34" s="705"/>
      <c r="BK34" s="705"/>
      <c r="BL34" s="705"/>
      <c r="BM34" s="705"/>
      <c r="BN34" s="705"/>
      <c r="BO34" s="705"/>
      <c r="BP34" s="705"/>
      <c r="BQ34" s="705"/>
      <c r="BR34" s="705"/>
    </row>
    <row r="35" spans="1:70" s="26" customFormat="1" ht="12.75">
      <c r="A35" s="705"/>
      <c r="B35" s="705"/>
      <c r="C35" s="705"/>
      <c r="D35" s="705"/>
      <c r="E35" s="705"/>
      <c r="F35" s="705"/>
      <c r="G35" s="705"/>
      <c r="H35" s="705"/>
      <c r="I35" s="705"/>
      <c r="J35" s="705"/>
      <c r="K35" s="705"/>
      <c r="L35" s="705"/>
      <c r="M35" s="705"/>
      <c r="N35" s="705"/>
      <c r="O35" s="705"/>
      <c r="P35" s="705"/>
      <c r="Q35" s="705"/>
      <c r="R35" s="705"/>
      <c r="S35" s="705"/>
      <c r="T35" s="705"/>
      <c r="U35" s="705"/>
      <c r="V35" s="705"/>
      <c r="W35" s="705"/>
      <c r="X35" s="705"/>
      <c r="Y35" s="705"/>
      <c r="Z35" s="705"/>
      <c r="AA35" s="705"/>
      <c r="AB35" s="705"/>
      <c r="AC35" s="705"/>
      <c r="AD35" s="705"/>
      <c r="AE35" s="705"/>
      <c r="AF35" s="705"/>
      <c r="AG35" s="705"/>
      <c r="AH35" s="705"/>
      <c r="AI35" s="705"/>
      <c r="AJ35" s="705"/>
      <c r="AK35" s="705"/>
      <c r="AL35" s="705"/>
      <c r="AM35" s="705"/>
      <c r="AN35" s="705"/>
      <c r="AO35" s="705"/>
      <c r="AP35" s="705"/>
      <c r="AQ35" s="705"/>
      <c r="AR35" s="705"/>
      <c r="AS35" s="705"/>
      <c r="AT35" s="705"/>
      <c r="AU35" s="705"/>
      <c r="AV35" s="705"/>
      <c r="AW35" s="705"/>
      <c r="AX35" s="705"/>
      <c r="AY35" s="705"/>
      <c r="AZ35" s="705"/>
      <c r="BA35" s="705"/>
      <c r="BB35" s="705"/>
      <c r="BC35" s="705"/>
      <c r="BD35" s="705"/>
      <c r="BE35" s="705"/>
      <c r="BF35" s="705"/>
      <c r="BG35" s="705"/>
      <c r="BH35" s="705"/>
      <c r="BI35" s="705"/>
      <c r="BJ35" s="705"/>
      <c r="BK35" s="705"/>
      <c r="BL35" s="705"/>
      <c r="BM35" s="705"/>
      <c r="BN35" s="705"/>
      <c r="BO35" s="705"/>
      <c r="BP35" s="705"/>
      <c r="BQ35" s="705"/>
      <c r="BR35" s="705"/>
    </row>
    <row r="36" spans="1:70" s="26" customFormat="1" ht="12.75">
      <c r="A36" s="705"/>
      <c r="B36" s="705"/>
      <c r="C36" s="705"/>
      <c r="D36" s="705"/>
      <c r="E36" s="705"/>
      <c r="F36" s="705"/>
      <c r="G36" s="705"/>
      <c r="H36" s="705"/>
      <c r="I36" s="705"/>
      <c r="J36" s="705"/>
      <c r="K36" s="705"/>
      <c r="L36" s="705"/>
      <c r="M36" s="705"/>
      <c r="N36" s="705"/>
      <c r="O36" s="705"/>
      <c r="P36" s="705"/>
      <c r="Q36" s="705"/>
      <c r="R36" s="705"/>
      <c r="S36" s="705"/>
      <c r="T36" s="705"/>
      <c r="U36" s="705"/>
      <c r="V36" s="705"/>
      <c r="W36" s="705"/>
      <c r="X36" s="705"/>
      <c r="Y36" s="705"/>
      <c r="Z36" s="705"/>
      <c r="AA36" s="705"/>
      <c r="AB36" s="705"/>
      <c r="AC36" s="705"/>
      <c r="AD36" s="705"/>
      <c r="AE36" s="705"/>
      <c r="AF36" s="705"/>
      <c r="AG36" s="705"/>
      <c r="AH36" s="705"/>
      <c r="AI36" s="705"/>
      <c r="AJ36" s="705"/>
      <c r="AK36" s="705"/>
      <c r="AL36" s="705"/>
      <c r="AM36" s="705"/>
      <c r="AN36" s="705"/>
      <c r="AO36" s="705"/>
      <c r="AP36" s="705"/>
      <c r="AQ36" s="705"/>
      <c r="AR36" s="705"/>
      <c r="AS36" s="705"/>
      <c r="AT36" s="705"/>
      <c r="AU36" s="705"/>
      <c r="AV36" s="705"/>
      <c r="AW36" s="705"/>
      <c r="AX36" s="705"/>
      <c r="AY36" s="705"/>
      <c r="AZ36" s="705"/>
      <c r="BA36" s="705"/>
      <c r="BB36" s="705"/>
      <c r="BC36" s="705"/>
      <c r="BD36" s="705"/>
      <c r="BE36" s="705"/>
      <c r="BF36" s="705"/>
      <c r="BG36" s="705"/>
      <c r="BH36" s="705"/>
      <c r="BI36" s="705"/>
      <c r="BJ36" s="705"/>
      <c r="BK36" s="705"/>
      <c r="BL36" s="705"/>
      <c r="BM36" s="705"/>
      <c r="BN36" s="705"/>
      <c r="BO36" s="705"/>
      <c r="BP36" s="705"/>
      <c r="BQ36" s="705"/>
      <c r="BR36" s="705"/>
    </row>
    <row r="37" spans="1:70" s="26" customFormat="1" ht="12.75">
      <c r="A37" s="705"/>
      <c r="B37" s="705"/>
      <c r="C37" s="705"/>
      <c r="D37" s="705"/>
      <c r="E37" s="705"/>
      <c r="F37" s="705"/>
      <c r="G37" s="705"/>
      <c r="H37" s="705"/>
      <c r="I37" s="705"/>
      <c r="J37" s="705"/>
      <c r="K37" s="705"/>
      <c r="L37" s="705"/>
      <c r="M37" s="705"/>
      <c r="N37" s="705"/>
      <c r="O37" s="705"/>
      <c r="P37" s="705"/>
      <c r="Q37" s="705"/>
      <c r="R37" s="705"/>
      <c r="S37" s="705"/>
      <c r="T37" s="705"/>
      <c r="U37" s="705"/>
      <c r="V37" s="705"/>
      <c r="W37" s="705"/>
      <c r="X37" s="705"/>
      <c r="Y37" s="705"/>
      <c r="Z37" s="705"/>
      <c r="AA37" s="705"/>
      <c r="AB37" s="705"/>
      <c r="AC37" s="705"/>
      <c r="AD37" s="705"/>
      <c r="AE37" s="705"/>
      <c r="AF37" s="705"/>
      <c r="AG37" s="705"/>
      <c r="AH37" s="705"/>
      <c r="AI37" s="705"/>
      <c r="AJ37" s="705"/>
      <c r="AK37" s="705"/>
      <c r="AL37" s="705"/>
      <c r="AM37" s="705"/>
      <c r="AN37" s="705"/>
      <c r="AO37" s="705"/>
      <c r="AP37" s="705"/>
      <c r="AQ37" s="705"/>
      <c r="AR37" s="705"/>
      <c r="AS37" s="705"/>
      <c r="AT37" s="705"/>
      <c r="AU37" s="705"/>
      <c r="AV37" s="705"/>
      <c r="AW37" s="705"/>
      <c r="AX37" s="705"/>
      <c r="AY37" s="705"/>
      <c r="AZ37" s="705"/>
      <c r="BA37" s="705"/>
      <c r="BB37" s="705"/>
      <c r="BC37" s="705"/>
      <c r="BD37" s="705"/>
      <c r="BE37" s="705"/>
      <c r="BF37" s="705"/>
      <c r="BG37" s="705"/>
      <c r="BH37" s="705"/>
      <c r="BI37" s="705"/>
      <c r="BJ37" s="705"/>
      <c r="BK37" s="705"/>
      <c r="BL37" s="705"/>
      <c r="BM37" s="705"/>
      <c r="BN37" s="705"/>
      <c r="BO37" s="705"/>
      <c r="BP37" s="705"/>
      <c r="BQ37" s="705"/>
      <c r="BR37" s="705"/>
    </row>
    <row r="38" spans="1:70" s="26" customFormat="1" ht="12.75">
      <c r="A38" s="705"/>
      <c r="B38" s="705"/>
      <c r="C38" s="705"/>
      <c r="D38" s="705"/>
      <c r="E38" s="705"/>
      <c r="F38" s="705"/>
      <c r="G38" s="705"/>
      <c r="H38" s="705"/>
      <c r="I38" s="705"/>
      <c r="J38" s="705"/>
      <c r="K38" s="705"/>
      <c r="L38" s="705"/>
      <c r="M38" s="705"/>
      <c r="N38" s="705"/>
      <c r="O38" s="705"/>
      <c r="P38" s="705"/>
      <c r="Q38" s="705"/>
      <c r="R38" s="705"/>
      <c r="S38" s="705"/>
      <c r="T38" s="705"/>
      <c r="U38" s="705"/>
      <c r="V38" s="705"/>
      <c r="W38" s="705"/>
      <c r="X38" s="705"/>
      <c r="Y38" s="705"/>
      <c r="Z38" s="705"/>
      <c r="AA38" s="705"/>
      <c r="AB38" s="705"/>
      <c r="AC38" s="705"/>
      <c r="AD38" s="705"/>
      <c r="AE38" s="705"/>
      <c r="AF38" s="705"/>
      <c r="AG38" s="705"/>
      <c r="AH38" s="705"/>
      <c r="AI38" s="705"/>
      <c r="AJ38" s="705"/>
      <c r="AK38" s="705"/>
      <c r="AL38" s="705"/>
      <c r="AM38" s="705"/>
      <c r="AN38" s="705"/>
      <c r="AO38" s="705"/>
      <c r="AP38" s="705"/>
      <c r="AQ38" s="705"/>
      <c r="AR38" s="705"/>
      <c r="AS38" s="705"/>
      <c r="AT38" s="705"/>
      <c r="AU38" s="705"/>
      <c r="AV38" s="705"/>
      <c r="AW38" s="705"/>
      <c r="AX38" s="705"/>
      <c r="AY38" s="705"/>
      <c r="AZ38" s="705"/>
      <c r="BA38" s="705"/>
      <c r="BB38" s="705"/>
      <c r="BC38" s="705"/>
      <c r="BD38" s="705"/>
      <c r="BE38" s="705"/>
      <c r="BF38" s="705"/>
      <c r="BG38" s="705"/>
      <c r="BH38" s="705"/>
      <c r="BI38" s="705"/>
      <c r="BJ38" s="705"/>
      <c r="BK38" s="705"/>
      <c r="BL38" s="705"/>
      <c r="BM38" s="705"/>
      <c r="BN38" s="705"/>
      <c r="BO38" s="705"/>
      <c r="BP38" s="705"/>
      <c r="BQ38" s="705"/>
      <c r="BR38" s="705"/>
    </row>
    <row r="39" spans="1:70" s="26" customFormat="1" ht="12.75">
      <c r="A39" s="705"/>
      <c r="B39" s="705"/>
      <c r="C39" s="705"/>
      <c r="D39" s="705"/>
      <c r="E39" s="705"/>
      <c r="F39" s="705"/>
      <c r="G39" s="705"/>
      <c r="H39" s="705"/>
      <c r="I39" s="705"/>
      <c r="J39" s="705"/>
      <c r="K39" s="705"/>
      <c r="L39" s="705"/>
      <c r="M39" s="705"/>
      <c r="N39" s="705"/>
      <c r="O39" s="705"/>
      <c r="P39" s="705"/>
      <c r="Q39" s="705"/>
      <c r="R39" s="705"/>
      <c r="S39" s="705"/>
      <c r="T39" s="705"/>
      <c r="U39" s="705"/>
      <c r="V39" s="705"/>
      <c r="W39" s="705"/>
      <c r="X39" s="705"/>
      <c r="Y39" s="705"/>
      <c r="Z39" s="705"/>
      <c r="AA39" s="705"/>
      <c r="AB39" s="705"/>
      <c r="AC39" s="705"/>
      <c r="AD39" s="705"/>
      <c r="AE39" s="705"/>
      <c r="AF39" s="705"/>
      <c r="AG39" s="705"/>
      <c r="AH39" s="705"/>
      <c r="AI39" s="705"/>
      <c r="AJ39" s="705"/>
      <c r="AK39" s="705"/>
      <c r="AL39" s="705"/>
      <c r="AM39" s="705"/>
      <c r="AN39" s="705"/>
      <c r="AO39" s="705"/>
      <c r="AP39" s="705"/>
      <c r="AQ39" s="705"/>
      <c r="AR39" s="705"/>
      <c r="AS39" s="705"/>
      <c r="AT39" s="705"/>
      <c r="AU39" s="705"/>
      <c r="AV39" s="705"/>
      <c r="AW39" s="705"/>
      <c r="AX39" s="705"/>
      <c r="AY39" s="705"/>
      <c r="AZ39" s="705"/>
      <c r="BA39" s="705"/>
      <c r="BB39" s="705"/>
      <c r="BC39" s="705"/>
      <c r="BD39" s="705"/>
      <c r="BE39" s="705"/>
      <c r="BF39" s="705"/>
      <c r="BG39" s="705"/>
      <c r="BH39" s="705"/>
      <c r="BI39" s="705"/>
      <c r="BJ39" s="705"/>
      <c r="BK39" s="705"/>
      <c r="BL39" s="705"/>
      <c r="BM39" s="705"/>
      <c r="BN39" s="705"/>
      <c r="BO39" s="705"/>
      <c r="BP39" s="705"/>
      <c r="BQ39" s="705"/>
      <c r="BR39" s="705"/>
    </row>
    <row r="40" spans="1:70" s="26" customFormat="1" ht="12.75">
      <c r="A40" s="705"/>
      <c r="B40" s="705"/>
      <c r="C40" s="705"/>
      <c r="D40" s="705"/>
      <c r="E40" s="705"/>
      <c r="F40" s="705"/>
      <c r="G40" s="705"/>
      <c r="H40" s="705"/>
      <c r="I40" s="705"/>
      <c r="J40" s="705"/>
      <c r="K40" s="705"/>
      <c r="L40" s="705"/>
      <c r="M40" s="705"/>
      <c r="N40" s="705"/>
      <c r="O40" s="705"/>
      <c r="P40" s="705"/>
      <c r="Q40" s="705"/>
      <c r="R40" s="705"/>
      <c r="S40" s="705"/>
      <c r="T40" s="705"/>
      <c r="U40" s="705"/>
      <c r="V40" s="705"/>
      <c r="W40" s="705"/>
      <c r="X40" s="705"/>
      <c r="Y40" s="705"/>
      <c r="Z40" s="705"/>
      <c r="AA40" s="705"/>
      <c r="AB40" s="705"/>
      <c r="AC40" s="705"/>
      <c r="AD40" s="705"/>
      <c r="AE40" s="705"/>
      <c r="AF40" s="705"/>
      <c r="AG40" s="705"/>
      <c r="AH40" s="705"/>
      <c r="AI40" s="705"/>
      <c r="AJ40" s="705"/>
      <c r="AK40" s="705"/>
      <c r="AL40" s="705"/>
      <c r="AM40" s="705"/>
      <c r="AN40" s="705"/>
      <c r="AO40" s="705"/>
      <c r="AP40" s="705"/>
      <c r="AQ40" s="705"/>
      <c r="AR40" s="705"/>
      <c r="AS40" s="705"/>
      <c r="AT40" s="705"/>
      <c r="AU40" s="705"/>
      <c r="AV40" s="705"/>
      <c r="AW40" s="705"/>
      <c r="AX40" s="705"/>
      <c r="AY40" s="705"/>
      <c r="AZ40" s="705"/>
      <c r="BA40" s="705"/>
      <c r="BB40" s="705"/>
      <c r="BC40" s="705"/>
      <c r="BD40" s="705"/>
      <c r="BE40" s="705"/>
      <c r="BF40" s="705"/>
      <c r="BG40" s="705"/>
      <c r="BH40" s="705"/>
      <c r="BI40" s="705"/>
      <c r="BJ40" s="705"/>
      <c r="BK40" s="705"/>
      <c r="BL40" s="705"/>
      <c r="BM40" s="705"/>
      <c r="BN40" s="705"/>
      <c r="BO40" s="705"/>
      <c r="BP40" s="705"/>
      <c r="BQ40" s="705"/>
      <c r="BR40" s="705"/>
    </row>
    <row r="41" spans="1:70" s="26" customFormat="1" ht="12.75">
      <c r="A41" s="705"/>
      <c r="B41" s="705"/>
      <c r="C41" s="705"/>
      <c r="D41" s="705"/>
      <c r="E41" s="705"/>
      <c r="F41" s="705"/>
      <c r="G41" s="705"/>
      <c r="H41" s="705"/>
      <c r="I41" s="705"/>
      <c r="J41" s="705"/>
      <c r="K41" s="705"/>
      <c r="L41" s="705"/>
      <c r="M41" s="705"/>
      <c r="N41" s="705"/>
      <c r="O41" s="705"/>
      <c r="P41" s="705"/>
      <c r="Q41" s="705"/>
      <c r="R41" s="705"/>
      <c r="S41" s="705"/>
      <c r="T41" s="705"/>
      <c r="U41" s="705"/>
      <c r="V41" s="705"/>
      <c r="W41" s="705"/>
      <c r="X41" s="705"/>
      <c r="Y41" s="705"/>
      <c r="Z41" s="705"/>
      <c r="AA41" s="705"/>
      <c r="AB41" s="705"/>
      <c r="AC41" s="705"/>
      <c r="AD41" s="705"/>
      <c r="AE41" s="705"/>
      <c r="AF41" s="705"/>
      <c r="AG41" s="705"/>
      <c r="AH41" s="705"/>
      <c r="AI41" s="705"/>
      <c r="AJ41" s="705"/>
      <c r="AK41" s="705"/>
      <c r="AL41" s="705"/>
      <c r="AM41" s="705"/>
      <c r="AN41" s="705"/>
      <c r="AO41" s="705"/>
      <c r="AP41" s="705"/>
      <c r="AQ41" s="705"/>
      <c r="AR41" s="705"/>
      <c r="AS41" s="705"/>
      <c r="AT41" s="705"/>
      <c r="AU41" s="705"/>
      <c r="AV41" s="705"/>
      <c r="AW41" s="705"/>
      <c r="AX41" s="705"/>
      <c r="AY41" s="705"/>
      <c r="AZ41" s="705"/>
      <c r="BA41" s="705"/>
      <c r="BB41" s="705"/>
      <c r="BC41" s="705"/>
      <c r="BD41" s="705"/>
      <c r="BE41" s="705"/>
      <c r="BF41" s="705"/>
      <c r="BG41" s="705"/>
      <c r="BH41" s="705"/>
      <c r="BI41" s="705"/>
      <c r="BJ41" s="705"/>
      <c r="BK41" s="705"/>
      <c r="BL41" s="705"/>
      <c r="BM41" s="705"/>
      <c r="BN41" s="705"/>
      <c r="BO41" s="705"/>
      <c r="BP41" s="705"/>
      <c r="BQ41" s="705"/>
      <c r="BR41" s="705"/>
    </row>
    <row r="42" spans="1:70" s="26" customFormat="1" ht="12.75">
      <c r="A42" s="705"/>
      <c r="B42" s="705"/>
      <c r="C42" s="705"/>
      <c r="D42" s="705"/>
      <c r="E42" s="705"/>
      <c r="F42" s="705"/>
      <c r="G42" s="705"/>
      <c r="H42" s="705"/>
      <c r="I42" s="705"/>
      <c r="J42" s="705"/>
      <c r="K42" s="705"/>
      <c r="L42" s="705"/>
      <c r="M42" s="705"/>
      <c r="N42" s="705"/>
      <c r="O42" s="705"/>
      <c r="P42" s="705"/>
      <c r="Q42" s="705"/>
      <c r="R42" s="705"/>
      <c r="S42" s="705"/>
      <c r="T42" s="705"/>
      <c r="U42" s="705"/>
      <c r="V42" s="705"/>
      <c r="W42" s="705"/>
      <c r="X42" s="705"/>
      <c r="Y42" s="705"/>
      <c r="Z42" s="705"/>
      <c r="AA42" s="705"/>
      <c r="AB42" s="705"/>
      <c r="AC42" s="705"/>
      <c r="AD42" s="705"/>
      <c r="AE42" s="705"/>
      <c r="AF42" s="705"/>
      <c r="AG42" s="705"/>
      <c r="AH42" s="705"/>
      <c r="AI42" s="705"/>
      <c r="AJ42" s="705"/>
      <c r="AK42" s="705"/>
      <c r="AL42" s="705"/>
      <c r="AM42" s="705"/>
      <c r="AN42" s="705"/>
      <c r="AO42" s="705"/>
      <c r="AP42" s="705"/>
      <c r="AQ42" s="705"/>
      <c r="AR42" s="705"/>
      <c r="AS42" s="705"/>
      <c r="AT42" s="705"/>
      <c r="AU42" s="705"/>
      <c r="AV42" s="705"/>
      <c r="AW42" s="705"/>
      <c r="AX42" s="705"/>
      <c r="AY42" s="705"/>
      <c r="AZ42" s="705"/>
      <c r="BA42" s="705"/>
      <c r="BB42" s="705"/>
      <c r="BC42" s="705"/>
      <c r="BD42" s="705"/>
      <c r="BE42" s="705"/>
      <c r="BF42" s="705"/>
      <c r="BG42" s="705"/>
      <c r="BH42" s="705"/>
      <c r="BI42" s="705"/>
      <c r="BJ42" s="705"/>
      <c r="BK42" s="705"/>
      <c r="BL42" s="705"/>
      <c r="BM42" s="705"/>
      <c r="BN42" s="705"/>
      <c r="BO42" s="705"/>
      <c r="BP42" s="705"/>
      <c r="BQ42" s="705"/>
      <c r="BR42" s="705"/>
    </row>
    <row r="43" spans="1:70" s="26" customFormat="1" ht="12.75">
      <c r="A43" s="705"/>
      <c r="B43" s="705"/>
      <c r="C43" s="705"/>
      <c r="D43" s="705"/>
      <c r="E43" s="705"/>
      <c r="F43" s="705"/>
      <c r="G43" s="705"/>
      <c r="H43" s="705"/>
      <c r="I43" s="705"/>
      <c r="J43" s="705"/>
      <c r="K43" s="705"/>
      <c r="L43" s="705"/>
      <c r="M43" s="705"/>
      <c r="N43" s="705"/>
      <c r="O43" s="705"/>
      <c r="P43" s="705"/>
      <c r="Q43" s="705"/>
      <c r="R43" s="705"/>
      <c r="S43" s="705"/>
      <c r="T43" s="705"/>
      <c r="U43" s="705"/>
      <c r="V43" s="705"/>
      <c r="W43" s="705"/>
      <c r="X43" s="705"/>
      <c r="Y43" s="705"/>
      <c r="Z43" s="705"/>
      <c r="AA43" s="705"/>
      <c r="AB43" s="705"/>
      <c r="AC43" s="705"/>
      <c r="AD43" s="705"/>
      <c r="AE43" s="705"/>
      <c r="AF43" s="705"/>
      <c r="AG43" s="705"/>
      <c r="AH43" s="705"/>
      <c r="AI43" s="705"/>
      <c r="AJ43" s="705"/>
      <c r="AK43" s="705"/>
      <c r="AL43" s="705"/>
      <c r="AM43" s="705"/>
      <c r="AN43" s="705"/>
      <c r="AO43" s="705"/>
      <c r="AP43" s="705"/>
      <c r="AQ43" s="705"/>
      <c r="AR43" s="705"/>
      <c r="AS43" s="705"/>
      <c r="AT43" s="705"/>
      <c r="AU43" s="705"/>
      <c r="AV43" s="705"/>
      <c r="AW43" s="705"/>
      <c r="AX43" s="705"/>
      <c r="AY43" s="705"/>
      <c r="AZ43" s="705"/>
      <c r="BA43" s="705"/>
      <c r="BB43" s="705"/>
      <c r="BC43" s="705"/>
      <c r="BD43" s="705"/>
      <c r="BE43" s="705"/>
      <c r="BF43" s="705"/>
      <c r="BG43" s="705"/>
      <c r="BH43" s="705"/>
      <c r="BI43" s="705"/>
      <c r="BJ43" s="705"/>
      <c r="BK43" s="705"/>
      <c r="BL43" s="705"/>
      <c r="BM43" s="705"/>
      <c r="BN43" s="705"/>
      <c r="BO43" s="705"/>
      <c r="BP43" s="705"/>
      <c r="BQ43" s="705"/>
      <c r="BR43" s="705"/>
    </row>
    <row r="44" spans="1:70" s="26" customFormat="1" ht="12.75">
      <c r="A44" s="705"/>
      <c r="B44" s="705"/>
      <c r="C44" s="705"/>
      <c r="D44" s="705"/>
      <c r="E44" s="705"/>
      <c r="F44" s="705"/>
      <c r="G44" s="705"/>
      <c r="H44" s="705"/>
      <c r="I44" s="705"/>
      <c r="J44" s="705"/>
      <c r="K44" s="705"/>
      <c r="L44" s="705"/>
      <c r="M44" s="705"/>
      <c r="N44" s="705"/>
      <c r="O44" s="705"/>
      <c r="P44" s="705"/>
      <c r="Q44" s="705"/>
      <c r="R44" s="705"/>
      <c r="S44" s="705"/>
      <c r="T44" s="705"/>
      <c r="U44" s="705"/>
      <c r="V44" s="705"/>
      <c r="W44" s="705"/>
      <c r="X44" s="705"/>
      <c r="Y44" s="705"/>
      <c r="Z44" s="705"/>
      <c r="AA44" s="705"/>
      <c r="AB44" s="705"/>
      <c r="AC44" s="705"/>
      <c r="AD44" s="705"/>
      <c r="AE44" s="705"/>
      <c r="AF44" s="705"/>
      <c r="AG44" s="705"/>
      <c r="AH44" s="705"/>
      <c r="AI44" s="705"/>
      <c r="AJ44" s="705"/>
      <c r="AK44" s="705"/>
      <c r="AL44" s="705"/>
      <c r="AM44" s="705"/>
      <c r="AN44" s="705"/>
      <c r="AO44" s="705"/>
      <c r="AP44" s="705"/>
      <c r="AQ44" s="705"/>
      <c r="AR44" s="705"/>
      <c r="AS44" s="705"/>
      <c r="AT44" s="705"/>
      <c r="AU44" s="705"/>
      <c r="AV44" s="705"/>
      <c r="AW44" s="705"/>
      <c r="AX44" s="705"/>
      <c r="AY44" s="705"/>
      <c r="AZ44" s="705"/>
      <c r="BA44" s="705"/>
      <c r="BB44" s="705"/>
      <c r="BC44" s="705"/>
      <c r="BD44" s="705"/>
      <c r="BE44" s="705"/>
      <c r="BF44" s="705"/>
      <c r="BG44" s="705"/>
      <c r="BH44" s="705"/>
      <c r="BI44" s="705"/>
      <c r="BJ44" s="705"/>
      <c r="BK44" s="705"/>
      <c r="BL44" s="705"/>
      <c r="BM44" s="705"/>
      <c r="BN44" s="705"/>
      <c r="BO44" s="705"/>
      <c r="BP44" s="705"/>
      <c r="BQ44" s="705"/>
      <c r="BR44" s="705"/>
    </row>
    <row r="45" spans="1:70" s="26" customFormat="1" ht="12.75">
      <c r="A45" s="705"/>
      <c r="B45" s="705"/>
      <c r="C45" s="705"/>
      <c r="D45" s="705"/>
      <c r="E45" s="705"/>
      <c r="F45" s="705"/>
      <c r="G45" s="705"/>
      <c r="H45" s="705"/>
      <c r="I45" s="705"/>
      <c r="J45" s="705"/>
      <c r="K45" s="705"/>
      <c r="L45" s="705"/>
      <c r="M45" s="705"/>
      <c r="N45" s="705"/>
      <c r="O45" s="705"/>
      <c r="P45" s="705"/>
      <c r="Q45" s="705"/>
      <c r="R45" s="705"/>
      <c r="S45" s="705"/>
      <c r="T45" s="705"/>
      <c r="U45" s="705"/>
      <c r="V45" s="705"/>
      <c r="W45" s="705"/>
      <c r="X45" s="705"/>
      <c r="Y45" s="705"/>
      <c r="Z45" s="705"/>
      <c r="AA45" s="705"/>
      <c r="AB45" s="705"/>
      <c r="AC45" s="705"/>
      <c r="AD45" s="705"/>
      <c r="AE45" s="705"/>
      <c r="AF45" s="705"/>
      <c r="AG45" s="705"/>
      <c r="AH45" s="705"/>
      <c r="AI45" s="705"/>
      <c r="AJ45" s="705"/>
      <c r="AK45" s="705"/>
      <c r="AL45" s="705"/>
      <c r="AM45" s="705"/>
      <c r="AN45" s="705"/>
      <c r="AO45" s="705"/>
      <c r="AP45" s="705"/>
      <c r="AQ45" s="705"/>
      <c r="AR45" s="705"/>
      <c r="AS45" s="705"/>
      <c r="AT45" s="705"/>
      <c r="AU45" s="705"/>
      <c r="AV45" s="705"/>
      <c r="AW45" s="705"/>
      <c r="AX45" s="705"/>
      <c r="AY45" s="705"/>
      <c r="AZ45" s="705"/>
      <c r="BA45" s="705"/>
      <c r="BB45" s="705"/>
      <c r="BC45" s="705"/>
      <c r="BD45" s="705"/>
      <c r="BE45" s="705"/>
      <c r="BF45" s="705"/>
      <c r="BG45" s="705"/>
      <c r="BH45" s="705"/>
      <c r="BI45" s="705"/>
      <c r="BJ45" s="705"/>
      <c r="BK45" s="705"/>
      <c r="BL45" s="705"/>
      <c r="BM45" s="705"/>
      <c r="BN45" s="705"/>
      <c r="BO45" s="705"/>
      <c r="BP45" s="705"/>
      <c r="BQ45" s="705"/>
      <c r="BR45" s="705"/>
    </row>
    <row r="46" spans="1:70" s="26" customFormat="1" ht="12.75">
      <c r="A46" s="706"/>
      <c r="B46" s="706"/>
      <c r="C46" s="706"/>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6"/>
      <c r="AC46" s="706"/>
      <c r="AD46" s="706"/>
      <c r="AE46" s="706"/>
      <c r="AF46" s="706"/>
      <c r="AG46" s="706"/>
      <c r="AH46" s="706"/>
      <c r="AI46" s="706"/>
      <c r="AJ46" s="706"/>
      <c r="AK46" s="706"/>
      <c r="AL46" s="706"/>
      <c r="AM46" s="706"/>
      <c r="AN46" s="706"/>
      <c r="AO46" s="706"/>
      <c r="AP46" s="706"/>
      <c r="AQ46" s="706"/>
      <c r="AR46" s="706"/>
      <c r="AS46" s="706"/>
      <c r="AT46" s="706"/>
      <c r="AU46" s="706"/>
      <c r="AV46" s="706"/>
      <c r="AW46" s="706"/>
      <c r="AX46" s="706"/>
      <c r="AY46" s="706"/>
      <c r="AZ46" s="706"/>
      <c r="BA46" s="706"/>
      <c r="BB46" s="706"/>
      <c r="BC46" s="706"/>
      <c r="BD46" s="706"/>
      <c r="BE46" s="706"/>
      <c r="BF46" s="706"/>
      <c r="BG46" s="706"/>
      <c r="BH46" s="706"/>
      <c r="BI46" s="706"/>
      <c r="BJ46" s="706"/>
      <c r="BK46" s="706"/>
      <c r="BL46" s="706"/>
      <c r="BM46" s="706"/>
      <c r="BN46" s="706"/>
      <c r="BO46" s="706"/>
      <c r="BP46" s="706"/>
      <c r="BQ46" s="706"/>
      <c r="BR46" s="706"/>
    </row>
    <row r="47" spans="1:70" s="26" customFormat="1" ht="12.75">
      <c r="A47" s="706"/>
      <c r="B47" s="706"/>
      <c r="C47" s="706"/>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706"/>
      <c r="AB47" s="706"/>
      <c r="AC47" s="706"/>
      <c r="AD47" s="706"/>
      <c r="AE47" s="706"/>
      <c r="AF47" s="706"/>
      <c r="AG47" s="706"/>
      <c r="AH47" s="706"/>
      <c r="AI47" s="706"/>
      <c r="AJ47" s="706"/>
      <c r="AK47" s="706"/>
      <c r="AL47" s="706"/>
      <c r="AM47" s="706"/>
      <c r="AN47" s="706"/>
      <c r="AO47" s="706"/>
      <c r="AP47" s="706"/>
      <c r="AQ47" s="706"/>
      <c r="AR47" s="706"/>
      <c r="AS47" s="706"/>
      <c r="AT47" s="706"/>
      <c r="AU47" s="706"/>
      <c r="AV47" s="706"/>
      <c r="AW47" s="706"/>
      <c r="AX47" s="706"/>
      <c r="AY47" s="706"/>
      <c r="AZ47" s="706"/>
      <c r="BA47" s="706"/>
      <c r="BB47" s="706"/>
      <c r="BC47" s="706"/>
      <c r="BD47" s="706"/>
      <c r="BE47" s="706"/>
      <c r="BF47" s="706"/>
      <c r="BG47" s="706"/>
      <c r="BH47" s="706"/>
      <c r="BI47" s="706"/>
      <c r="BJ47" s="706"/>
      <c r="BK47" s="706"/>
      <c r="BL47" s="706"/>
      <c r="BM47" s="706"/>
      <c r="BN47" s="706"/>
      <c r="BO47" s="706"/>
      <c r="BP47" s="706"/>
      <c r="BQ47" s="706"/>
      <c r="BR47" s="706"/>
    </row>
    <row r="48" spans="1:70" s="26" customFormat="1" ht="12.75">
      <c r="A48" s="706" t="s">
        <v>454</v>
      </c>
      <c r="B48" s="706"/>
      <c r="C48" s="706"/>
      <c r="D48" s="706"/>
      <c r="E48" s="706"/>
      <c r="F48" s="706"/>
      <c r="G48" s="706"/>
      <c r="H48" s="706"/>
      <c r="I48" s="706"/>
      <c r="J48" s="706"/>
      <c r="K48" s="706"/>
      <c r="L48" s="706"/>
      <c r="M48" s="706"/>
      <c r="N48" s="706"/>
      <c r="O48" s="706"/>
      <c r="P48" s="706"/>
      <c r="Q48" s="706"/>
      <c r="R48" s="706"/>
      <c r="S48" s="706"/>
      <c r="T48" s="706"/>
      <c r="U48" s="706"/>
      <c r="V48" s="706"/>
      <c r="W48" s="706"/>
      <c r="X48" s="706"/>
      <c r="Y48" s="706"/>
      <c r="Z48" s="706"/>
      <c r="AA48" s="706"/>
      <c r="AB48" s="706"/>
      <c r="AC48" s="706"/>
      <c r="AD48" s="706"/>
      <c r="AE48" s="706"/>
      <c r="AF48" s="706"/>
      <c r="AG48" s="706"/>
      <c r="AH48" s="706"/>
      <c r="AI48" s="706"/>
      <c r="AJ48" s="706"/>
      <c r="AK48" s="706"/>
      <c r="AL48" s="706"/>
      <c r="AM48" s="706"/>
      <c r="AN48" s="706"/>
      <c r="AO48" s="706"/>
      <c r="AP48" s="706"/>
      <c r="AQ48" s="706"/>
      <c r="AR48" s="706"/>
      <c r="AS48" s="706"/>
      <c r="AT48" s="706"/>
      <c r="AU48" s="706"/>
      <c r="AV48" s="706"/>
      <c r="AW48" s="706"/>
      <c r="AX48" s="706"/>
      <c r="AY48" s="706"/>
      <c r="AZ48" s="706"/>
      <c r="BA48" s="706"/>
      <c r="BB48" s="706"/>
      <c r="BC48" s="706"/>
      <c r="BD48" s="706"/>
      <c r="BE48" s="706"/>
      <c r="BF48" s="706"/>
      <c r="BG48" s="706"/>
      <c r="BH48" s="706"/>
      <c r="BI48" s="706"/>
      <c r="BJ48" s="706"/>
      <c r="BK48" s="706"/>
      <c r="BL48" s="706"/>
      <c r="BM48" s="706"/>
      <c r="BN48" s="706"/>
      <c r="BO48" s="706"/>
      <c r="BP48" s="706"/>
      <c r="BQ48" s="706"/>
      <c r="BR48" s="706"/>
    </row>
    <row r="49" spans="1:12" s="745" customFormat="1" ht="12.75">
      <c r="A49" s="742"/>
      <c r="B49" s="742"/>
      <c r="C49" s="742"/>
      <c r="D49" s="742"/>
      <c r="E49" s="742"/>
      <c r="F49" s="742"/>
      <c r="G49" s="742"/>
      <c r="H49" s="742"/>
      <c r="I49" s="742"/>
      <c r="J49" s="742"/>
      <c r="K49" s="742"/>
      <c r="L49" s="742"/>
    </row>
    <row r="50" spans="1:12" s="745" customFormat="1" ht="12.75">
      <c r="A50" s="742"/>
      <c r="B50" s="742"/>
      <c r="C50" s="742"/>
      <c r="D50" s="742"/>
      <c r="E50" s="742"/>
      <c r="F50" s="742"/>
      <c r="G50" s="742"/>
      <c r="H50" s="742"/>
      <c r="I50" s="742"/>
      <c r="J50" s="742"/>
      <c r="K50" s="742"/>
      <c r="L50" s="742"/>
    </row>
    <row r="51" spans="1:12" s="745" customFormat="1" ht="12.75">
      <c r="A51" s="742"/>
      <c r="B51" s="742"/>
      <c r="C51" s="742"/>
      <c r="D51" s="742"/>
      <c r="E51" s="742"/>
      <c r="F51" s="742"/>
      <c r="G51" s="742"/>
      <c r="H51" s="742"/>
      <c r="I51" s="742"/>
      <c r="J51" s="742"/>
      <c r="K51" s="742"/>
      <c r="L51" s="742"/>
    </row>
    <row r="52" spans="1:12" s="745" customFormat="1" ht="12.75">
      <c r="A52" s="742"/>
      <c r="B52" s="742"/>
      <c r="C52" s="742"/>
      <c r="D52" s="742"/>
      <c r="E52" s="742"/>
      <c r="F52" s="742"/>
      <c r="G52" s="742"/>
      <c r="H52" s="742"/>
      <c r="I52" s="742"/>
      <c r="J52" s="742"/>
      <c r="K52" s="742"/>
      <c r="L52" s="742"/>
    </row>
    <row r="53" spans="1:12" s="745" customFormat="1" ht="12.75">
      <c r="A53" s="742"/>
      <c r="B53" s="742"/>
      <c r="C53" s="742"/>
      <c r="D53" s="742"/>
      <c r="E53" s="742"/>
      <c r="F53" s="742"/>
      <c r="G53" s="742"/>
      <c r="H53" s="742"/>
      <c r="I53" s="742"/>
      <c r="J53" s="742"/>
      <c r="K53" s="742"/>
      <c r="L53" s="742"/>
    </row>
    <row r="54" spans="1:12" s="745" customFormat="1" ht="12.75">
      <c r="A54" s="742"/>
      <c r="B54" s="742"/>
      <c r="C54" s="742"/>
      <c r="D54" s="742"/>
      <c r="E54" s="742"/>
      <c r="F54" s="742"/>
      <c r="G54" s="742"/>
      <c r="H54" s="742"/>
      <c r="I54" s="742"/>
      <c r="J54" s="742"/>
      <c r="K54" s="742"/>
      <c r="L54" s="742"/>
    </row>
    <row r="55" spans="1:12" s="745" customFormat="1" ht="12.75">
      <c r="A55" s="742"/>
      <c r="B55" s="742"/>
      <c r="C55" s="742"/>
      <c r="D55" s="742"/>
      <c r="E55" s="742"/>
      <c r="F55" s="742"/>
      <c r="G55" s="742"/>
      <c r="H55" s="742"/>
      <c r="I55" s="742"/>
      <c r="J55" s="742"/>
      <c r="K55" s="742"/>
      <c r="L55" s="742"/>
    </row>
    <row r="56" spans="1:12" s="745" customFormat="1" ht="12.75">
      <c r="A56" s="742"/>
      <c r="B56" s="742"/>
      <c r="C56" s="742"/>
      <c r="D56" s="742"/>
      <c r="E56" s="742"/>
      <c r="F56" s="742"/>
      <c r="G56" s="742"/>
      <c r="H56" s="742"/>
      <c r="I56" s="742"/>
      <c r="J56" s="742"/>
      <c r="K56" s="742"/>
      <c r="L56" s="742"/>
    </row>
    <row r="57" spans="1:12" s="745" customFormat="1" ht="12.75">
      <c r="A57" s="742"/>
      <c r="B57" s="742"/>
      <c r="C57" s="742"/>
      <c r="D57" s="742"/>
      <c r="E57" s="742"/>
      <c r="F57" s="742"/>
      <c r="G57" s="742"/>
      <c r="H57" s="742"/>
      <c r="I57" s="742"/>
      <c r="J57" s="742"/>
      <c r="K57" s="742"/>
      <c r="L57" s="742"/>
    </row>
    <row r="58" spans="1:12" s="745" customFormat="1" ht="12.75">
      <c r="A58" s="742"/>
      <c r="B58" s="742"/>
      <c r="C58" s="742"/>
      <c r="D58" s="742"/>
      <c r="E58" s="742"/>
      <c r="F58" s="742"/>
      <c r="G58" s="742"/>
      <c r="H58" s="742"/>
      <c r="I58" s="742"/>
      <c r="J58" s="742"/>
      <c r="K58" s="742"/>
      <c r="L58" s="742"/>
    </row>
    <row r="59" spans="1:12" s="745" customFormat="1" ht="12.75">
      <c r="A59" s="742"/>
      <c r="B59" s="742"/>
      <c r="C59" s="742"/>
      <c r="D59" s="742"/>
      <c r="E59" s="742"/>
      <c r="F59" s="742"/>
      <c r="G59" s="742"/>
      <c r="H59" s="742"/>
      <c r="I59" s="742"/>
      <c r="J59" s="742"/>
      <c r="K59" s="742"/>
      <c r="L59" s="742"/>
    </row>
    <row r="60" spans="1:12" s="745" customFormat="1" ht="12.75">
      <c r="A60" s="742"/>
      <c r="B60" s="742"/>
      <c r="C60" s="742"/>
      <c r="D60" s="742"/>
      <c r="E60" s="742"/>
      <c r="F60" s="742"/>
      <c r="G60" s="742"/>
      <c r="H60" s="742"/>
      <c r="I60" s="742"/>
      <c r="J60" s="742"/>
      <c r="K60" s="742"/>
      <c r="L60" s="742"/>
    </row>
    <row r="61" spans="1:12" s="745" customFormat="1" ht="12.75">
      <c r="A61" s="742"/>
      <c r="B61" s="742"/>
      <c r="C61" s="742"/>
      <c r="D61" s="742"/>
      <c r="E61" s="742"/>
      <c r="F61" s="742"/>
      <c r="G61" s="742"/>
      <c r="H61" s="742"/>
      <c r="I61" s="742"/>
      <c r="J61" s="742"/>
      <c r="K61" s="742"/>
      <c r="L61" s="742"/>
    </row>
    <row r="62" spans="1:12" s="793" customFormat="1" ht="14.25">
      <c r="A62" s="792"/>
      <c r="B62" s="792"/>
      <c r="C62" s="792"/>
      <c r="D62" s="792"/>
      <c r="E62" s="792"/>
      <c r="F62" s="792"/>
      <c r="G62" s="792"/>
      <c r="H62" s="792"/>
      <c r="I62" s="792"/>
      <c r="J62" s="792"/>
      <c r="K62" s="792"/>
      <c r="L62" s="792"/>
    </row>
    <row r="63" spans="1:12" s="793" customFormat="1" ht="14.25">
      <c r="A63" s="792"/>
      <c r="B63" s="792"/>
      <c r="C63" s="792"/>
      <c r="D63" s="792"/>
      <c r="E63" s="792"/>
      <c r="F63" s="792"/>
      <c r="G63" s="792"/>
      <c r="H63" s="792"/>
      <c r="I63" s="792"/>
      <c r="J63" s="792"/>
      <c r="K63" s="792"/>
      <c r="L63" s="792"/>
    </row>
    <row r="64" spans="1:12" s="793" customFormat="1" ht="14.25">
      <c r="A64" s="792"/>
      <c r="B64" s="792"/>
      <c r="C64" s="792"/>
      <c r="D64" s="792"/>
      <c r="E64" s="792"/>
      <c r="F64" s="792"/>
      <c r="G64" s="792"/>
      <c r="H64" s="792"/>
      <c r="I64" s="792"/>
      <c r="J64" s="792"/>
      <c r="K64" s="792"/>
      <c r="L64" s="792"/>
    </row>
    <row r="65" spans="1:12" s="793" customFormat="1" ht="14.25">
      <c r="A65" s="792"/>
      <c r="B65" s="792"/>
      <c r="C65" s="792"/>
      <c r="D65" s="792"/>
      <c r="E65" s="792"/>
      <c r="F65" s="792"/>
      <c r="G65" s="792"/>
      <c r="H65" s="792"/>
      <c r="I65" s="792"/>
      <c r="J65" s="792"/>
      <c r="K65" s="792"/>
      <c r="L65" s="792"/>
    </row>
    <row r="66" spans="1:12" s="793" customFormat="1" ht="14.25">
      <c r="A66" s="792"/>
      <c r="B66" s="792"/>
      <c r="C66" s="792"/>
      <c r="D66" s="792"/>
      <c r="E66" s="792"/>
      <c r="F66" s="792"/>
      <c r="G66" s="792"/>
      <c r="H66" s="792"/>
      <c r="I66" s="792"/>
      <c r="J66" s="792"/>
      <c r="K66" s="792"/>
      <c r="L66" s="792"/>
    </row>
    <row r="67" spans="1:12" s="793" customFormat="1" ht="14.25">
      <c r="A67" s="792"/>
      <c r="B67" s="792"/>
      <c r="C67" s="792"/>
      <c r="D67" s="792"/>
      <c r="E67" s="792"/>
      <c r="F67" s="792"/>
      <c r="G67" s="792"/>
      <c r="H67" s="792"/>
      <c r="I67" s="792"/>
      <c r="J67" s="792"/>
      <c r="K67" s="792"/>
      <c r="L67" s="792"/>
    </row>
    <row r="68" spans="1:12" s="793" customFormat="1" ht="14.25">
      <c r="A68" s="792"/>
      <c r="B68" s="792"/>
      <c r="C68" s="792"/>
      <c r="D68" s="792"/>
      <c r="E68" s="792"/>
      <c r="F68" s="792"/>
      <c r="G68" s="792"/>
      <c r="H68" s="792"/>
      <c r="I68" s="792"/>
      <c r="J68" s="792"/>
      <c r="K68" s="792"/>
      <c r="L68" s="792"/>
    </row>
    <row r="69" spans="1:12" s="793" customFormat="1" ht="14.25">
      <c r="A69" s="792"/>
      <c r="B69" s="792"/>
      <c r="C69" s="792"/>
      <c r="D69" s="792"/>
      <c r="E69" s="792"/>
      <c r="F69" s="792"/>
      <c r="G69" s="792"/>
      <c r="H69" s="792"/>
      <c r="I69" s="792"/>
      <c r="J69" s="792"/>
      <c r="K69" s="792"/>
      <c r="L69" s="792"/>
    </row>
    <row r="70" spans="1:12" s="793" customFormat="1" ht="14.25">
      <c r="A70" s="792"/>
      <c r="B70" s="792"/>
      <c r="C70" s="792"/>
      <c r="D70" s="792"/>
      <c r="E70" s="792"/>
      <c r="F70" s="792"/>
      <c r="G70" s="792"/>
      <c r="H70" s="792"/>
      <c r="I70" s="792"/>
      <c r="J70" s="792"/>
      <c r="K70" s="792"/>
      <c r="L70" s="792"/>
    </row>
    <row r="71" spans="1:12" s="793" customFormat="1" ht="14.25">
      <c r="A71" s="792"/>
      <c r="B71" s="792"/>
      <c r="C71" s="792"/>
      <c r="D71" s="792"/>
      <c r="E71" s="792"/>
      <c r="F71" s="792"/>
      <c r="G71" s="792"/>
      <c r="H71" s="792"/>
      <c r="I71" s="792"/>
      <c r="J71" s="792"/>
      <c r="K71" s="792"/>
      <c r="L71" s="792"/>
    </row>
    <row r="72" spans="1:12" s="793" customFormat="1" ht="14.25">
      <c r="A72" s="792"/>
      <c r="B72" s="792"/>
      <c r="C72" s="792"/>
      <c r="D72" s="792"/>
      <c r="E72" s="792"/>
      <c r="F72" s="792"/>
      <c r="G72" s="792"/>
      <c r="H72" s="792"/>
      <c r="I72" s="792"/>
      <c r="J72" s="792"/>
      <c r="K72" s="792"/>
      <c r="L72" s="792"/>
    </row>
    <row r="73" spans="1:12" s="793" customFormat="1" ht="14.25">
      <c r="A73" s="792"/>
      <c r="B73" s="792"/>
      <c r="C73" s="792"/>
      <c r="D73" s="792"/>
      <c r="E73" s="792"/>
      <c r="F73" s="792"/>
      <c r="G73" s="792"/>
      <c r="H73" s="792"/>
      <c r="I73" s="792"/>
      <c r="J73" s="792"/>
      <c r="K73" s="792"/>
      <c r="L73" s="792"/>
    </row>
    <row r="74" spans="1:12" s="793" customFormat="1" ht="14.25">
      <c r="A74" s="792"/>
      <c r="B74" s="792"/>
      <c r="C74" s="792"/>
      <c r="D74" s="792"/>
      <c r="E74" s="792"/>
      <c r="F74" s="792"/>
      <c r="G74" s="792"/>
      <c r="H74" s="792"/>
      <c r="I74" s="792"/>
      <c r="J74" s="792"/>
      <c r="K74" s="792"/>
      <c r="L74" s="792"/>
    </row>
    <row r="75" spans="1:12" s="793" customFormat="1" ht="14.25">
      <c r="A75" s="792"/>
      <c r="B75" s="792"/>
      <c r="C75" s="792"/>
      <c r="D75" s="792"/>
      <c r="E75" s="792"/>
      <c r="F75" s="792"/>
      <c r="G75" s="792"/>
      <c r="H75" s="792"/>
      <c r="I75" s="792"/>
      <c r="J75" s="792"/>
      <c r="K75" s="792"/>
      <c r="L75" s="792"/>
    </row>
    <row r="76" spans="1:12" s="793" customFormat="1" ht="14.25">
      <c r="A76" s="792"/>
      <c r="B76" s="792"/>
      <c r="C76" s="792"/>
      <c r="D76" s="792"/>
      <c r="E76" s="792"/>
      <c r="F76" s="792"/>
      <c r="G76" s="792"/>
      <c r="H76" s="792"/>
      <c r="I76" s="792"/>
      <c r="J76" s="792"/>
      <c r="K76" s="792"/>
      <c r="L76" s="792"/>
    </row>
    <row r="77" spans="1:12" s="793" customFormat="1" ht="14.25">
      <c r="A77" s="792"/>
      <c r="B77" s="792"/>
      <c r="C77" s="792"/>
      <c r="D77" s="792"/>
      <c r="E77" s="792"/>
      <c r="F77" s="792"/>
      <c r="G77" s="792"/>
      <c r="H77" s="792"/>
      <c r="I77" s="792"/>
      <c r="J77" s="792"/>
      <c r="K77" s="792"/>
      <c r="L77" s="792"/>
    </row>
    <row r="78" spans="1:12" s="793" customFormat="1" ht="14.25">
      <c r="A78" s="792"/>
      <c r="B78" s="792"/>
      <c r="C78" s="792"/>
      <c r="D78" s="792"/>
      <c r="E78" s="792"/>
      <c r="F78" s="792"/>
      <c r="G78" s="792"/>
      <c r="H78" s="792"/>
      <c r="I78" s="792"/>
      <c r="J78" s="792"/>
      <c r="K78" s="792"/>
      <c r="L78" s="792"/>
    </row>
    <row r="79" spans="1:12" s="793" customFormat="1" ht="14.25">
      <c r="A79" s="792"/>
      <c r="B79" s="792"/>
      <c r="C79" s="792"/>
      <c r="D79" s="792"/>
      <c r="E79" s="792"/>
      <c r="F79" s="792"/>
      <c r="G79" s="792"/>
      <c r="H79" s="792"/>
      <c r="I79" s="792"/>
      <c r="J79" s="792"/>
      <c r="K79" s="792"/>
      <c r="L79" s="792"/>
    </row>
    <row r="80" spans="1:12" s="793" customFormat="1" ht="14.25">
      <c r="A80" s="792"/>
      <c r="B80" s="792"/>
      <c r="C80" s="792"/>
      <c r="D80" s="792"/>
      <c r="E80" s="792"/>
      <c r="F80" s="792"/>
      <c r="G80" s="792"/>
      <c r="H80" s="792"/>
      <c r="I80" s="792"/>
      <c r="J80" s="792"/>
      <c r="K80" s="792"/>
      <c r="L80" s="792"/>
    </row>
    <row r="81" spans="1:12" s="793" customFormat="1" ht="14.25">
      <c r="A81" s="792"/>
      <c r="B81" s="792"/>
      <c r="C81" s="792"/>
      <c r="D81" s="792"/>
      <c r="E81" s="792"/>
      <c r="F81" s="792"/>
      <c r="G81" s="792"/>
      <c r="H81" s="792"/>
      <c r="I81" s="792"/>
      <c r="J81" s="792"/>
      <c r="K81" s="792"/>
      <c r="L81" s="792"/>
    </row>
    <row r="82" spans="1:12" s="793" customFormat="1" ht="14.25">
      <c r="A82" s="792"/>
      <c r="B82" s="792"/>
      <c r="C82" s="792"/>
      <c r="D82" s="792"/>
      <c r="E82" s="792"/>
      <c r="F82" s="792"/>
      <c r="G82" s="792"/>
      <c r="H82" s="792"/>
      <c r="I82" s="792"/>
      <c r="J82" s="792"/>
      <c r="K82" s="792"/>
      <c r="L82" s="792"/>
    </row>
    <row r="83" spans="1:12" s="793" customFormat="1" ht="14.25">
      <c r="A83" s="792"/>
      <c r="B83" s="792"/>
      <c r="C83" s="792"/>
      <c r="D83" s="792"/>
      <c r="E83" s="792"/>
      <c r="F83" s="792"/>
      <c r="G83" s="792"/>
      <c r="H83" s="792"/>
      <c r="I83" s="792"/>
      <c r="J83" s="792"/>
      <c r="K83" s="792"/>
      <c r="L83" s="792"/>
    </row>
    <row r="84" spans="1:12" s="793" customFormat="1" ht="14.25">
      <c r="A84" s="792"/>
      <c r="B84" s="792"/>
      <c r="C84" s="792"/>
      <c r="D84" s="792"/>
      <c r="E84" s="792"/>
      <c r="F84" s="792"/>
      <c r="G84" s="792"/>
      <c r="H84" s="792"/>
      <c r="I84" s="792"/>
      <c r="J84" s="792"/>
      <c r="K84" s="792"/>
      <c r="L84" s="792"/>
    </row>
    <row r="85" spans="1:12" s="793" customFormat="1" ht="14.25">
      <c r="A85" s="792"/>
      <c r="B85" s="792"/>
      <c r="C85" s="792"/>
      <c r="D85" s="792"/>
      <c r="E85" s="792"/>
      <c r="F85" s="792"/>
      <c r="G85" s="792"/>
      <c r="H85" s="792"/>
      <c r="I85" s="792"/>
      <c r="J85" s="792"/>
      <c r="K85" s="792"/>
      <c r="L85" s="792"/>
    </row>
    <row r="86" spans="1:12" s="793" customFormat="1" ht="14.25">
      <c r="A86" s="792"/>
      <c r="B86" s="792"/>
      <c r="C86" s="792"/>
      <c r="D86" s="792"/>
      <c r="E86" s="792"/>
      <c r="F86" s="792"/>
      <c r="G86" s="792"/>
      <c r="H86" s="792"/>
      <c r="I86" s="792"/>
      <c r="J86" s="792"/>
      <c r="K86" s="792"/>
      <c r="L86" s="792"/>
    </row>
    <row r="87" spans="1:12" s="793" customFormat="1" ht="14.25">
      <c r="A87" s="792"/>
      <c r="B87" s="792"/>
      <c r="C87" s="792"/>
      <c r="D87" s="792"/>
      <c r="E87" s="792"/>
      <c r="F87" s="792"/>
      <c r="G87" s="792"/>
      <c r="H87" s="792"/>
      <c r="I87" s="792"/>
      <c r="J87" s="792"/>
      <c r="K87" s="792"/>
      <c r="L87" s="792"/>
    </row>
    <row r="88" spans="1:12" s="793" customFormat="1" ht="14.25">
      <c r="A88" s="792"/>
      <c r="B88" s="792"/>
      <c r="C88" s="792"/>
      <c r="D88" s="792"/>
      <c r="E88" s="792"/>
      <c r="F88" s="792"/>
      <c r="G88" s="792"/>
      <c r="H88" s="792"/>
      <c r="I88" s="792"/>
      <c r="J88" s="792"/>
      <c r="K88" s="792"/>
      <c r="L88" s="792"/>
    </row>
    <row r="89" spans="1:12" s="793" customFormat="1" ht="14.25">
      <c r="A89" s="792"/>
      <c r="B89" s="792"/>
      <c r="C89" s="792"/>
      <c r="D89" s="792"/>
      <c r="E89" s="792"/>
      <c r="F89" s="792"/>
      <c r="G89" s="792"/>
      <c r="H89" s="792"/>
      <c r="I89" s="792"/>
      <c r="J89" s="792"/>
      <c r="K89" s="792"/>
      <c r="L89" s="792"/>
    </row>
    <row r="90" spans="1:12" s="793" customFormat="1" ht="14.25">
      <c r="A90" s="792"/>
      <c r="B90" s="792"/>
      <c r="C90" s="792"/>
      <c r="D90" s="792"/>
      <c r="E90" s="792"/>
      <c r="F90" s="792"/>
      <c r="G90" s="792"/>
      <c r="H90" s="792"/>
      <c r="I90" s="792"/>
      <c r="J90" s="792"/>
      <c r="K90" s="792"/>
      <c r="L90" s="792"/>
    </row>
    <row r="91" spans="1:12" s="793" customFormat="1" ht="14.25">
      <c r="A91" s="792"/>
      <c r="B91" s="792"/>
      <c r="C91" s="792"/>
      <c r="D91" s="792"/>
      <c r="E91" s="792"/>
      <c r="F91" s="792"/>
      <c r="G91" s="792"/>
      <c r="H91" s="792"/>
      <c r="I91" s="792"/>
      <c r="J91" s="792"/>
      <c r="K91" s="792"/>
      <c r="L91" s="792"/>
    </row>
    <row r="92" spans="1:12" s="793" customFormat="1" ht="14.25">
      <c r="A92" s="792"/>
      <c r="B92" s="792"/>
      <c r="C92" s="792"/>
      <c r="D92" s="792"/>
      <c r="E92" s="792"/>
      <c r="F92" s="792"/>
      <c r="G92" s="792"/>
      <c r="H92" s="792"/>
      <c r="I92" s="792"/>
      <c r="J92" s="792"/>
      <c r="K92" s="792"/>
      <c r="L92" s="792"/>
    </row>
    <row r="93" spans="1:12" s="793" customFormat="1" ht="14.25">
      <c r="A93" s="792"/>
      <c r="B93" s="792"/>
      <c r="C93" s="792"/>
      <c r="D93" s="792"/>
      <c r="E93" s="792"/>
      <c r="F93" s="792"/>
      <c r="G93" s="792"/>
      <c r="H93" s="792"/>
      <c r="I93" s="792"/>
      <c r="J93" s="792"/>
      <c r="K93" s="792"/>
      <c r="L93" s="792"/>
    </row>
    <row r="94" spans="1:12" s="793" customFormat="1" ht="14.25">
      <c r="A94" s="792"/>
      <c r="B94" s="792"/>
      <c r="C94" s="792"/>
      <c r="D94" s="792"/>
      <c r="E94" s="792"/>
      <c r="F94" s="792"/>
      <c r="G94" s="792"/>
      <c r="H94" s="792"/>
      <c r="I94" s="792"/>
      <c r="J94" s="792"/>
      <c r="K94" s="792"/>
      <c r="L94" s="792"/>
    </row>
    <row r="95" spans="1:12" s="793" customFormat="1" ht="14.25">
      <c r="A95" s="792"/>
      <c r="B95" s="792"/>
      <c r="C95" s="792"/>
      <c r="D95" s="792"/>
      <c r="E95" s="792"/>
      <c r="F95" s="792"/>
      <c r="G95" s="792"/>
      <c r="H95" s="792"/>
      <c r="I95" s="792"/>
      <c r="J95" s="792"/>
      <c r="K95" s="792"/>
      <c r="L95" s="792"/>
    </row>
    <row r="96" spans="1:12" s="793" customFormat="1" ht="14.25">
      <c r="A96" s="792"/>
      <c r="B96" s="792"/>
      <c r="C96" s="792"/>
      <c r="D96" s="792"/>
      <c r="E96" s="792"/>
      <c r="F96" s="792"/>
      <c r="G96" s="792"/>
      <c r="H96" s="792"/>
      <c r="I96" s="792"/>
      <c r="J96" s="792"/>
      <c r="K96" s="792"/>
      <c r="L96" s="792"/>
    </row>
    <row r="97" spans="1:12" s="793" customFormat="1" ht="14.25">
      <c r="A97" s="792"/>
      <c r="B97" s="792"/>
      <c r="C97" s="792"/>
      <c r="D97" s="792"/>
      <c r="E97" s="792"/>
      <c r="F97" s="792"/>
      <c r="G97" s="792"/>
      <c r="H97" s="792"/>
      <c r="I97" s="792"/>
      <c r="J97" s="792"/>
      <c r="K97" s="792"/>
      <c r="L97" s="792"/>
    </row>
    <row r="98" spans="1:12" s="793" customFormat="1" ht="14.25">
      <c r="A98" s="792"/>
      <c r="B98" s="792"/>
      <c r="C98" s="792"/>
      <c r="D98" s="792"/>
      <c r="E98" s="792"/>
      <c r="F98" s="792"/>
      <c r="G98" s="792"/>
      <c r="H98" s="792"/>
      <c r="I98" s="792"/>
      <c r="J98" s="792"/>
      <c r="K98" s="792"/>
      <c r="L98" s="792"/>
    </row>
    <row r="99" spans="1:12" s="793" customFormat="1" ht="14.25">
      <c r="A99" s="792"/>
      <c r="B99" s="792"/>
      <c r="C99" s="792"/>
      <c r="D99" s="792"/>
      <c r="E99" s="792"/>
      <c r="F99" s="792"/>
      <c r="G99" s="792"/>
      <c r="H99" s="792"/>
      <c r="I99" s="792"/>
      <c r="J99" s="792"/>
      <c r="K99" s="792"/>
      <c r="L99" s="792"/>
    </row>
    <row r="100" spans="1:12" s="793" customFormat="1" ht="14.25">
      <c r="A100" s="792"/>
      <c r="B100" s="792"/>
      <c r="C100" s="792"/>
      <c r="D100" s="792"/>
      <c r="E100" s="792"/>
      <c r="F100" s="792"/>
      <c r="G100" s="792"/>
      <c r="H100" s="792"/>
      <c r="I100" s="792"/>
      <c r="J100" s="792"/>
      <c r="K100" s="792"/>
      <c r="L100" s="792"/>
    </row>
    <row r="101" spans="1:12" s="793" customFormat="1" ht="14.25">
      <c r="A101" s="792"/>
      <c r="B101" s="792"/>
      <c r="C101" s="792"/>
      <c r="D101" s="792"/>
      <c r="E101" s="792"/>
      <c r="F101" s="792"/>
      <c r="G101" s="792"/>
      <c r="H101" s="792"/>
      <c r="I101" s="792"/>
      <c r="J101" s="792"/>
      <c r="K101" s="792"/>
      <c r="L101" s="792"/>
    </row>
    <row r="102" spans="1:12" s="793" customFormat="1" ht="14.25">
      <c r="A102" s="792"/>
      <c r="B102" s="792"/>
      <c r="C102" s="792"/>
      <c r="D102" s="792"/>
      <c r="E102" s="792"/>
      <c r="F102" s="792"/>
      <c r="G102" s="792"/>
      <c r="H102" s="792"/>
      <c r="I102" s="792"/>
      <c r="J102" s="792"/>
      <c r="K102" s="792"/>
      <c r="L102" s="792"/>
    </row>
    <row r="103" spans="1:12" s="793" customFormat="1" ht="14.25">
      <c r="A103" s="792"/>
      <c r="B103" s="792"/>
      <c r="C103" s="792"/>
      <c r="D103" s="792"/>
      <c r="E103" s="792"/>
      <c r="F103" s="792"/>
      <c r="G103" s="792"/>
      <c r="H103" s="792"/>
      <c r="I103" s="792"/>
      <c r="J103" s="792"/>
      <c r="K103" s="792"/>
      <c r="L103" s="792"/>
    </row>
    <row r="104" spans="1:12" s="793" customFormat="1" ht="14.25">
      <c r="A104" s="792"/>
      <c r="B104" s="792"/>
      <c r="C104" s="792"/>
      <c r="D104" s="792"/>
      <c r="E104" s="792"/>
      <c r="F104" s="792"/>
      <c r="G104" s="792"/>
      <c r="H104" s="792"/>
      <c r="I104" s="792"/>
      <c r="J104" s="792"/>
      <c r="K104" s="792"/>
      <c r="L104" s="792"/>
    </row>
    <row r="105" spans="1:12" s="793" customFormat="1" ht="14.25">
      <c r="A105" s="792"/>
      <c r="B105" s="792"/>
      <c r="C105" s="792"/>
      <c r="D105" s="792"/>
      <c r="E105" s="792"/>
      <c r="F105" s="792"/>
      <c r="G105" s="792"/>
      <c r="H105" s="792"/>
      <c r="I105" s="792"/>
      <c r="J105" s="792"/>
      <c r="K105" s="792"/>
      <c r="L105" s="792"/>
    </row>
    <row r="106" spans="1:12" s="793" customFormat="1" ht="14.25">
      <c r="A106" s="792"/>
      <c r="B106" s="792"/>
      <c r="C106" s="792"/>
      <c r="D106" s="792"/>
      <c r="E106" s="792"/>
      <c r="F106" s="792"/>
      <c r="G106" s="792"/>
      <c r="H106" s="792"/>
      <c r="I106" s="792"/>
      <c r="J106" s="792"/>
      <c r="K106" s="792"/>
      <c r="L106" s="792"/>
    </row>
    <row r="107" spans="1:12" s="793" customFormat="1" ht="14.25">
      <c r="A107" s="792"/>
      <c r="B107" s="792"/>
      <c r="C107" s="792"/>
      <c r="D107" s="792"/>
      <c r="E107" s="792"/>
      <c r="F107" s="792"/>
      <c r="G107" s="792"/>
      <c r="H107" s="792"/>
      <c r="I107" s="792"/>
      <c r="J107" s="792"/>
      <c r="K107" s="792"/>
      <c r="L107" s="792"/>
    </row>
    <row r="108" spans="1:12" s="793" customFormat="1" ht="14.25">
      <c r="A108" s="792"/>
      <c r="B108" s="792"/>
      <c r="C108" s="792"/>
      <c r="D108" s="792"/>
      <c r="E108" s="792"/>
      <c r="F108" s="792"/>
      <c r="G108" s="792"/>
      <c r="H108" s="792"/>
      <c r="I108" s="792"/>
      <c r="J108" s="792"/>
      <c r="K108" s="792"/>
      <c r="L108" s="792"/>
    </row>
    <row r="109" spans="1:12" s="793" customFormat="1" ht="14.25">
      <c r="A109" s="792"/>
      <c r="B109" s="792"/>
      <c r="C109" s="792"/>
      <c r="D109" s="792"/>
      <c r="E109" s="792"/>
      <c r="F109" s="792"/>
      <c r="G109" s="792"/>
      <c r="H109" s="792"/>
      <c r="I109" s="792"/>
      <c r="J109" s="792"/>
      <c r="K109" s="792"/>
      <c r="L109" s="792"/>
    </row>
    <row r="110" spans="1:12" s="793" customFormat="1" ht="14.25">
      <c r="A110" s="792"/>
      <c r="B110" s="792"/>
      <c r="C110" s="792"/>
      <c r="D110" s="792"/>
      <c r="E110" s="792"/>
      <c r="F110" s="792"/>
      <c r="G110" s="792"/>
      <c r="H110" s="792"/>
      <c r="I110" s="792"/>
      <c r="J110" s="792"/>
      <c r="K110" s="792"/>
      <c r="L110" s="792"/>
    </row>
    <row r="111" spans="1:12" s="793" customFormat="1" ht="14.25">
      <c r="A111" s="792"/>
      <c r="B111" s="792"/>
      <c r="C111" s="792"/>
      <c r="D111" s="792"/>
      <c r="E111" s="792"/>
      <c r="F111" s="792"/>
      <c r="G111" s="792"/>
      <c r="H111" s="792"/>
      <c r="I111" s="792"/>
      <c r="J111" s="792"/>
      <c r="K111" s="792"/>
      <c r="L111" s="792"/>
    </row>
    <row r="112" spans="1:12" s="793" customFormat="1" ht="14.25">
      <c r="A112" s="792"/>
      <c r="B112" s="792"/>
      <c r="C112" s="792"/>
      <c r="D112" s="792"/>
      <c r="E112" s="792"/>
      <c r="F112" s="792"/>
      <c r="G112" s="792"/>
      <c r="H112" s="792"/>
      <c r="I112" s="792"/>
      <c r="J112" s="792"/>
      <c r="K112" s="792"/>
      <c r="L112" s="792"/>
    </row>
    <row r="113" spans="1:12" s="793" customFormat="1" ht="14.25">
      <c r="A113" s="792"/>
      <c r="B113" s="792"/>
      <c r="C113" s="792"/>
      <c r="D113" s="792"/>
      <c r="E113" s="792"/>
      <c r="F113" s="792"/>
      <c r="G113" s="792"/>
      <c r="H113" s="792"/>
      <c r="I113" s="792"/>
      <c r="J113" s="792"/>
      <c r="K113" s="792"/>
      <c r="L113" s="792"/>
    </row>
    <row r="114" spans="1:12" s="793" customFormat="1" ht="14.25">
      <c r="A114" s="792"/>
      <c r="B114" s="792"/>
      <c r="C114" s="792"/>
      <c r="D114" s="792"/>
      <c r="E114" s="792"/>
      <c r="F114" s="792"/>
      <c r="G114" s="792"/>
      <c r="H114" s="792"/>
      <c r="I114" s="792"/>
      <c r="J114" s="792"/>
      <c r="K114" s="792"/>
      <c r="L114" s="792"/>
    </row>
    <row r="115" spans="1:12" s="793" customFormat="1" ht="14.25">
      <c r="A115" s="792"/>
      <c r="B115" s="792"/>
      <c r="C115" s="792"/>
      <c r="D115" s="792"/>
      <c r="E115" s="792"/>
      <c r="F115" s="792"/>
      <c r="G115" s="792"/>
      <c r="H115" s="792"/>
      <c r="I115" s="792"/>
      <c r="J115" s="792"/>
      <c r="K115" s="792"/>
      <c r="L115" s="792"/>
    </row>
    <row r="116" spans="1:12" s="793" customFormat="1" ht="14.25">
      <c r="A116" s="792"/>
      <c r="B116" s="792"/>
      <c r="C116" s="792"/>
      <c r="D116" s="792"/>
      <c r="E116" s="792"/>
      <c r="F116" s="792"/>
      <c r="G116" s="792"/>
      <c r="H116" s="792"/>
      <c r="I116" s="792"/>
      <c r="J116" s="792"/>
      <c r="K116" s="792"/>
      <c r="L116" s="792"/>
    </row>
    <row r="117" spans="1:12" s="793" customFormat="1" ht="14.25">
      <c r="A117" s="792"/>
      <c r="B117" s="792"/>
      <c r="C117" s="792"/>
      <c r="D117" s="792"/>
      <c r="E117" s="792"/>
      <c r="F117" s="792"/>
      <c r="G117" s="792"/>
      <c r="H117" s="792"/>
      <c r="I117" s="792"/>
      <c r="J117" s="792"/>
      <c r="K117" s="792"/>
      <c r="L117" s="792"/>
    </row>
    <row r="118" spans="1:12" s="793" customFormat="1" ht="14.25">
      <c r="A118" s="792"/>
      <c r="B118" s="792"/>
      <c r="C118" s="792"/>
      <c r="D118" s="792"/>
      <c r="E118" s="792"/>
      <c r="F118" s="792"/>
      <c r="G118" s="792"/>
      <c r="H118" s="792"/>
      <c r="I118" s="792"/>
      <c r="J118" s="792"/>
      <c r="K118" s="792"/>
      <c r="L118" s="792"/>
    </row>
    <row r="119" spans="1:12" s="793" customFormat="1" ht="14.25">
      <c r="A119" s="792"/>
      <c r="B119" s="792"/>
      <c r="C119" s="792"/>
      <c r="D119" s="792"/>
      <c r="E119" s="792"/>
      <c r="F119" s="792"/>
      <c r="G119" s="792"/>
      <c r="H119" s="792"/>
      <c r="I119" s="792"/>
      <c r="J119" s="792"/>
      <c r="K119" s="792"/>
      <c r="L119" s="792"/>
    </row>
    <row r="120" spans="1:12" s="793" customFormat="1" ht="14.25">
      <c r="A120" s="792"/>
      <c r="B120" s="792"/>
      <c r="C120" s="792"/>
      <c r="D120" s="792"/>
      <c r="E120" s="792"/>
      <c r="F120" s="792"/>
      <c r="G120" s="792"/>
      <c r="H120" s="792"/>
      <c r="I120" s="792"/>
      <c r="J120" s="792"/>
      <c r="K120" s="792"/>
      <c r="L120" s="792"/>
    </row>
    <row r="121" spans="1:12" s="793" customFormat="1" ht="14.25">
      <c r="A121" s="792"/>
      <c r="B121" s="792"/>
      <c r="C121" s="792"/>
      <c r="D121" s="792"/>
      <c r="E121" s="792"/>
      <c r="F121" s="792"/>
      <c r="G121" s="792"/>
      <c r="H121" s="792"/>
      <c r="I121" s="792"/>
      <c r="J121" s="792"/>
      <c r="K121" s="792"/>
      <c r="L121" s="792"/>
    </row>
    <row r="122" spans="1:12" s="793" customFormat="1" ht="14.25">
      <c r="A122" s="792"/>
      <c r="B122" s="792"/>
      <c r="C122" s="792"/>
      <c r="D122" s="792"/>
      <c r="E122" s="792"/>
      <c r="F122" s="792"/>
      <c r="G122" s="792"/>
      <c r="H122" s="792"/>
      <c r="I122" s="792"/>
      <c r="J122" s="792"/>
      <c r="K122" s="792"/>
      <c r="L122" s="792"/>
    </row>
    <row r="123" spans="1:12" s="793" customFormat="1" ht="14.25">
      <c r="A123" s="792"/>
      <c r="B123" s="792"/>
      <c r="C123" s="792"/>
      <c r="D123" s="792"/>
      <c r="E123" s="792"/>
      <c r="F123" s="792"/>
      <c r="G123" s="792"/>
      <c r="H123" s="792"/>
      <c r="I123" s="792"/>
      <c r="J123" s="792"/>
      <c r="K123" s="792"/>
      <c r="L123" s="792"/>
    </row>
    <row r="124" spans="1:12" s="793" customFormat="1" ht="14.25">
      <c r="A124" s="792"/>
      <c r="B124" s="792"/>
      <c r="C124" s="792"/>
      <c r="D124" s="792"/>
      <c r="E124" s="792"/>
      <c r="F124" s="792"/>
      <c r="G124" s="792"/>
      <c r="H124" s="792"/>
      <c r="I124" s="792"/>
      <c r="J124" s="792"/>
      <c r="K124" s="792"/>
      <c r="L124" s="792"/>
    </row>
    <row r="125" spans="1:12" s="793" customFormat="1" ht="14.25">
      <c r="A125" s="792"/>
      <c r="B125" s="792"/>
      <c r="C125" s="792"/>
      <c r="D125" s="792"/>
      <c r="E125" s="792"/>
      <c r="F125" s="792"/>
      <c r="G125" s="792"/>
      <c r="H125" s="792"/>
      <c r="I125" s="792"/>
      <c r="J125" s="792"/>
      <c r="K125" s="792"/>
      <c r="L125" s="792"/>
    </row>
    <row r="126" spans="1:12" s="793" customFormat="1" ht="14.25">
      <c r="A126" s="792"/>
      <c r="B126" s="792"/>
      <c r="C126" s="792"/>
      <c r="D126" s="792"/>
      <c r="E126" s="792"/>
      <c r="F126" s="792"/>
      <c r="G126" s="792"/>
      <c r="H126" s="792"/>
      <c r="I126" s="792"/>
      <c r="J126" s="792"/>
      <c r="K126" s="792"/>
      <c r="L126" s="792"/>
    </row>
    <row r="127" spans="1:12" s="793" customFormat="1" ht="14.25">
      <c r="A127" s="792"/>
      <c r="B127" s="792"/>
      <c r="C127" s="792"/>
      <c r="D127" s="792"/>
      <c r="E127" s="792"/>
      <c r="F127" s="792"/>
      <c r="G127" s="792"/>
      <c r="H127" s="792"/>
      <c r="I127" s="792"/>
      <c r="J127" s="792"/>
      <c r="K127" s="792"/>
      <c r="L127" s="792"/>
    </row>
    <row r="128" spans="1:12" s="793" customFormat="1" ht="14.25">
      <c r="A128" s="792"/>
      <c r="B128" s="792"/>
      <c r="C128" s="792"/>
      <c r="D128" s="792"/>
      <c r="E128" s="792"/>
      <c r="F128" s="792"/>
      <c r="G128" s="792"/>
      <c r="H128" s="792"/>
      <c r="I128" s="792"/>
      <c r="J128" s="792"/>
      <c r="K128" s="792"/>
      <c r="L128" s="792"/>
    </row>
    <row r="129" spans="1:12" s="793" customFormat="1" ht="14.25">
      <c r="A129" s="792"/>
      <c r="B129" s="792"/>
      <c r="C129" s="792"/>
      <c r="D129" s="792"/>
      <c r="E129" s="792"/>
      <c r="F129" s="792"/>
      <c r="G129" s="792"/>
      <c r="H129" s="792"/>
      <c r="I129" s="792"/>
      <c r="J129" s="792"/>
      <c r="K129" s="792"/>
      <c r="L129" s="792"/>
    </row>
    <row r="130" spans="1:12" s="793" customFormat="1" ht="14.25">
      <c r="A130" s="792"/>
      <c r="B130" s="792"/>
      <c r="C130" s="792"/>
      <c r="D130" s="792"/>
      <c r="E130" s="792"/>
      <c r="F130" s="792"/>
      <c r="G130" s="792"/>
      <c r="H130" s="792"/>
      <c r="I130" s="792"/>
      <c r="J130" s="792"/>
      <c r="K130" s="792"/>
      <c r="L130" s="792"/>
    </row>
    <row r="131" spans="1:12" s="793" customFormat="1" ht="14.25">
      <c r="A131" s="792"/>
      <c r="B131" s="792"/>
      <c r="C131" s="792"/>
      <c r="D131" s="792"/>
      <c r="E131" s="792"/>
      <c r="F131" s="792"/>
      <c r="G131" s="792"/>
      <c r="H131" s="792"/>
      <c r="I131" s="792"/>
      <c r="J131" s="792"/>
      <c r="K131" s="792"/>
      <c r="L131" s="792"/>
    </row>
    <row r="132" spans="1:12" s="793" customFormat="1" ht="14.25">
      <c r="A132" s="792"/>
      <c r="B132" s="792"/>
      <c r="C132" s="792"/>
      <c r="D132" s="792"/>
      <c r="E132" s="792"/>
      <c r="F132" s="792"/>
      <c r="G132" s="792"/>
      <c r="H132" s="792"/>
      <c r="I132" s="792"/>
      <c r="J132" s="792"/>
      <c r="K132" s="792"/>
      <c r="L132" s="792"/>
    </row>
    <row r="133" spans="1:12" s="793" customFormat="1" ht="14.25">
      <c r="A133" s="792"/>
      <c r="B133" s="792"/>
      <c r="C133" s="792"/>
      <c r="D133" s="792"/>
      <c r="E133" s="792"/>
      <c r="F133" s="792"/>
      <c r="G133" s="792"/>
      <c r="H133" s="792"/>
      <c r="I133" s="792"/>
      <c r="J133" s="792"/>
      <c r="K133" s="792"/>
      <c r="L133" s="792"/>
    </row>
    <row r="134" spans="1:12" s="793" customFormat="1" ht="14.25">
      <c r="A134" s="792"/>
      <c r="B134" s="792"/>
      <c r="C134" s="792"/>
      <c r="D134" s="792"/>
      <c r="E134" s="792"/>
      <c r="F134" s="792"/>
      <c r="G134" s="792"/>
      <c r="H134" s="792"/>
      <c r="I134" s="792"/>
      <c r="J134" s="792"/>
      <c r="K134" s="792"/>
      <c r="L134" s="792"/>
    </row>
    <row r="135" spans="1:12" s="793" customFormat="1" ht="14.25">
      <c r="A135" s="792"/>
      <c r="B135" s="792"/>
      <c r="C135" s="792"/>
      <c r="D135" s="792"/>
      <c r="E135" s="792"/>
      <c r="F135" s="792"/>
      <c r="G135" s="792"/>
      <c r="H135" s="792"/>
      <c r="I135" s="792"/>
      <c r="J135" s="792"/>
      <c r="K135" s="792"/>
      <c r="L135" s="792"/>
    </row>
    <row r="136" spans="1:12" s="793" customFormat="1" ht="14.25">
      <c r="A136" s="792"/>
      <c r="B136" s="792"/>
      <c r="C136" s="792"/>
      <c r="D136" s="792"/>
      <c r="E136" s="792"/>
      <c r="F136" s="792"/>
      <c r="G136" s="792"/>
      <c r="H136" s="792"/>
      <c r="I136" s="792"/>
      <c r="J136" s="792"/>
      <c r="K136" s="792"/>
      <c r="L136" s="792"/>
    </row>
    <row r="137" spans="1:12" s="793" customFormat="1" ht="14.25">
      <c r="A137" s="792"/>
      <c r="B137" s="792"/>
      <c r="C137" s="792"/>
      <c r="D137" s="792"/>
      <c r="E137" s="792"/>
      <c r="F137" s="792"/>
      <c r="G137" s="792"/>
      <c r="H137" s="792"/>
      <c r="I137" s="792"/>
      <c r="J137" s="792"/>
      <c r="K137" s="792"/>
      <c r="L137" s="792"/>
    </row>
    <row r="138" spans="1:12" s="793" customFormat="1" ht="14.25">
      <c r="A138" s="792"/>
      <c r="B138" s="792"/>
      <c r="C138" s="792"/>
      <c r="D138" s="792"/>
      <c r="E138" s="792"/>
      <c r="F138" s="792"/>
      <c r="G138" s="792"/>
      <c r="H138" s="792"/>
      <c r="I138" s="792"/>
      <c r="J138" s="792"/>
      <c r="K138" s="792"/>
      <c r="L138" s="792"/>
    </row>
    <row r="139" spans="1:12" s="793" customFormat="1" ht="14.25">
      <c r="A139" s="792"/>
      <c r="B139" s="792"/>
      <c r="C139" s="792"/>
      <c r="D139" s="792"/>
      <c r="E139" s="792"/>
      <c r="F139" s="792"/>
      <c r="G139" s="792"/>
      <c r="H139" s="792"/>
      <c r="I139" s="792"/>
      <c r="J139" s="792"/>
      <c r="K139" s="792"/>
      <c r="L139" s="792"/>
    </row>
    <row r="140" spans="1:12" s="793" customFormat="1" ht="14.25">
      <c r="A140" s="792"/>
      <c r="B140" s="792"/>
      <c r="C140" s="792"/>
      <c r="D140" s="792"/>
      <c r="E140" s="792"/>
      <c r="F140" s="792"/>
      <c r="G140" s="792"/>
      <c r="H140" s="792"/>
      <c r="I140" s="792"/>
      <c r="J140" s="792"/>
      <c r="K140" s="792"/>
      <c r="L140" s="792"/>
    </row>
    <row r="141" spans="1:12" s="793" customFormat="1" ht="14.25">
      <c r="A141" s="792"/>
      <c r="B141" s="792"/>
      <c r="C141" s="792"/>
      <c r="D141" s="792"/>
      <c r="E141" s="792"/>
      <c r="F141" s="792"/>
      <c r="G141" s="792"/>
      <c r="H141" s="792"/>
      <c r="I141" s="792"/>
      <c r="J141" s="792"/>
      <c r="K141" s="792"/>
      <c r="L141" s="792"/>
    </row>
    <row r="142" spans="1:12" s="793" customFormat="1" ht="14.25">
      <c r="A142" s="792"/>
      <c r="B142" s="792"/>
      <c r="C142" s="792"/>
      <c r="D142" s="792"/>
      <c r="E142" s="792"/>
      <c r="F142" s="792"/>
      <c r="G142" s="792"/>
      <c r="H142" s="792"/>
      <c r="I142" s="792"/>
      <c r="J142" s="792"/>
      <c r="K142" s="792"/>
      <c r="L142" s="792"/>
    </row>
    <row r="143" spans="1:12" s="793" customFormat="1" ht="14.25">
      <c r="A143" s="792"/>
      <c r="B143" s="792"/>
      <c r="C143" s="792"/>
      <c r="D143" s="792"/>
      <c r="E143" s="792"/>
      <c r="F143" s="792"/>
      <c r="G143" s="792"/>
      <c r="H143" s="792"/>
      <c r="I143" s="792"/>
      <c r="J143" s="792"/>
      <c r="K143" s="792"/>
      <c r="L143" s="792"/>
    </row>
    <row r="144" spans="1:12" s="793" customFormat="1" ht="14.25">
      <c r="A144" s="792"/>
      <c r="B144" s="792"/>
      <c r="C144" s="792"/>
      <c r="D144" s="792"/>
      <c r="E144" s="792"/>
      <c r="F144" s="792"/>
      <c r="G144" s="792"/>
      <c r="H144" s="792"/>
      <c r="I144" s="792"/>
      <c r="J144" s="792"/>
      <c r="K144" s="792"/>
      <c r="L144" s="792"/>
    </row>
    <row r="145" spans="1:12" s="793" customFormat="1" ht="14.25">
      <c r="A145" s="792"/>
      <c r="B145" s="792"/>
      <c r="C145" s="792"/>
      <c r="D145" s="792"/>
      <c r="E145" s="792"/>
      <c r="F145" s="792"/>
      <c r="G145" s="792"/>
      <c r="H145" s="792"/>
      <c r="I145" s="792"/>
      <c r="J145" s="792"/>
      <c r="K145" s="792"/>
      <c r="L145" s="792"/>
    </row>
    <row r="146" spans="1:12" s="793" customFormat="1" ht="14.25">
      <c r="A146" s="792"/>
      <c r="B146" s="792"/>
      <c r="C146" s="792"/>
      <c r="D146" s="792"/>
      <c r="E146" s="792"/>
      <c r="F146" s="792"/>
      <c r="G146" s="792"/>
      <c r="H146" s="792"/>
      <c r="I146" s="792"/>
      <c r="J146" s="792"/>
      <c r="K146" s="792"/>
      <c r="L146" s="792"/>
    </row>
  </sheetData>
  <sheetProtection sheet="1" insertColumns="0" insertRows="0"/>
  <printOptions/>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sheetPr>
    <tabColor rgb="FFFF0000"/>
  </sheetPr>
  <dimension ref="A1:L60"/>
  <sheetViews>
    <sheetView zoomScalePageLayoutView="0" workbookViewId="0" topLeftCell="A1">
      <selection activeCell="C17" sqref="C17"/>
    </sheetView>
  </sheetViews>
  <sheetFormatPr defaultColWidth="9.140625" defaultRowHeight="12.75"/>
  <cols>
    <col min="1" max="1" width="2.00390625" style="724" bestFit="1" customWidth="1"/>
    <col min="2" max="2" width="20.00390625" style="724" customWidth="1"/>
    <col min="3" max="3" width="18.421875" style="724" customWidth="1"/>
    <col min="4" max="4" width="16.00390625" style="724" customWidth="1"/>
    <col min="5" max="5" width="11.57421875" style="724" customWidth="1"/>
    <col min="6" max="6" width="17.7109375" style="724" customWidth="1"/>
    <col min="7" max="7" width="15.7109375" style="724" customWidth="1"/>
    <col min="8" max="8" width="12.7109375" style="724" customWidth="1"/>
    <col min="9" max="9" width="10.421875" style="724" customWidth="1"/>
    <col min="10" max="10" width="10.140625" style="724" customWidth="1"/>
    <col min="11" max="16384" width="9.140625" style="724" customWidth="1"/>
  </cols>
  <sheetData>
    <row r="1" spans="1:10" ht="12.75">
      <c r="A1" s="81"/>
      <c r="B1" s="82" t="s">
        <v>247</v>
      </c>
      <c r="C1" s="81"/>
      <c r="D1" s="81"/>
      <c r="E1" s="81"/>
      <c r="F1" s="81"/>
      <c r="G1" s="81"/>
      <c r="H1" s="81"/>
      <c r="I1" s="81"/>
      <c r="J1" s="81"/>
    </row>
    <row r="2" spans="1:10" ht="12.75">
      <c r="A2" s="81">
        <v>1</v>
      </c>
      <c r="B2" s="710" t="s">
        <v>806</v>
      </c>
      <c r="C2" s="81"/>
      <c r="D2" s="81"/>
      <c r="E2" s="81"/>
      <c r="F2" s="81"/>
      <c r="G2" s="81"/>
      <c r="H2" s="81"/>
      <c r="I2" s="81"/>
      <c r="J2" s="81"/>
    </row>
    <row r="3" spans="1:10" ht="12.75">
      <c r="A3" s="81">
        <v>2</v>
      </c>
      <c r="B3" s="467" t="s">
        <v>403</v>
      </c>
      <c r="C3" s="467"/>
      <c r="D3" s="81"/>
      <c r="E3" s="81"/>
      <c r="F3" s="81"/>
      <c r="G3" s="81"/>
      <c r="H3" s="81"/>
      <c r="I3" s="81"/>
      <c r="J3" s="81"/>
    </row>
    <row r="4" spans="1:10" ht="12.75">
      <c r="A4" s="81">
        <v>3</v>
      </c>
      <c r="B4" s="81" t="s">
        <v>341</v>
      </c>
      <c r="C4" s="81"/>
      <c r="D4" s="81"/>
      <c r="E4" s="81"/>
      <c r="F4" s="81"/>
      <c r="G4" s="81"/>
      <c r="H4" s="81"/>
      <c r="I4" s="81"/>
      <c r="J4" s="81"/>
    </row>
    <row r="5" spans="1:10" ht="12.75">
      <c r="A5" s="81">
        <v>4</v>
      </c>
      <c r="B5" s="710" t="s">
        <v>807</v>
      </c>
      <c r="C5" s="81"/>
      <c r="D5" s="81"/>
      <c r="E5" s="81"/>
      <c r="F5" s="81"/>
      <c r="G5" s="81"/>
      <c r="H5" s="81"/>
      <c r="I5" s="81"/>
      <c r="J5" s="81"/>
    </row>
    <row r="6" spans="1:11" ht="12.75">
      <c r="A6" s="81">
        <v>5</v>
      </c>
      <c r="B6" s="208" t="s">
        <v>74</v>
      </c>
      <c r="C6" s="208"/>
      <c r="D6" s="208"/>
      <c r="E6" s="208"/>
      <c r="F6" s="208"/>
      <c r="G6" s="208"/>
      <c r="H6" s="208"/>
      <c r="I6" s="208"/>
      <c r="J6" s="208"/>
      <c r="K6" s="35"/>
    </row>
    <row r="7" spans="1:10" ht="12.75">
      <c r="A7" s="81"/>
      <c r="B7" s="81"/>
      <c r="C7" s="81"/>
      <c r="D7" s="81"/>
      <c r="E7" s="81"/>
      <c r="F7" s="81"/>
      <c r="G7" s="81"/>
      <c r="H7" s="81"/>
      <c r="I7" s="81"/>
      <c r="J7" s="81"/>
    </row>
    <row r="8" spans="1:10" ht="13.5" thickBot="1">
      <c r="A8" s="81"/>
      <c r="B8" s="82" t="s">
        <v>281</v>
      </c>
      <c r="C8" s="81"/>
      <c r="D8" s="81"/>
      <c r="E8" s="81"/>
      <c r="F8" s="81"/>
      <c r="G8" s="81"/>
      <c r="H8" s="81"/>
      <c r="I8" s="81"/>
      <c r="J8" s="81"/>
    </row>
    <row r="9" spans="1:10" ht="13.5" thickBot="1">
      <c r="A9" s="81"/>
      <c r="B9" s="670" t="s">
        <v>405</v>
      </c>
      <c r="C9" s="155" t="s">
        <v>328</v>
      </c>
      <c r="D9" s="1263" t="s">
        <v>329</v>
      </c>
      <c r="E9" s="1264"/>
      <c r="F9" s="1264"/>
      <c r="G9" s="1264"/>
      <c r="H9" s="1264"/>
      <c r="I9" s="1264"/>
      <c r="J9" s="1265"/>
    </row>
    <row r="10" spans="1:10" ht="13.5" thickBot="1">
      <c r="A10" s="81"/>
      <c r="B10" s="671" t="s">
        <v>330</v>
      </c>
      <c r="C10" s="672">
        <f>'Basic Info'!C15</f>
        <v>0</v>
      </c>
      <c r="D10" s="1266" t="s">
        <v>342</v>
      </c>
      <c r="E10" s="1264"/>
      <c r="F10" s="1264"/>
      <c r="G10" s="1264"/>
      <c r="H10" s="1264"/>
      <c r="I10" s="1264"/>
      <c r="J10" s="1265"/>
    </row>
    <row r="11" spans="1:10" ht="13.5" thickBot="1">
      <c r="A11" s="81"/>
      <c r="B11" s="673" t="s">
        <v>343</v>
      </c>
      <c r="C11" s="162">
        <f>SUM('Basic Info'!C16:C25)</f>
        <v>0</v>
      </c>
      <c r="D11" s="1267" t="s">
        <v>717</v>
      </c>
      <c r="E11" s="1264"/>
      <c r="F11" s="1264"/>
      <c r="G11" s="1264"/>
      <c r="H11" s="1264"/>
      <c r="I11" s="1264"/>
      <c r="J11" s="1265"/>
    </row>
    <row r="12" spans="1:10" ht="13.5" thickBot="1">
      <c r="A12" s="81"/>
      <c r="B12" s="674" t="s">
        <v>344</v>
      </c>
      <c r="C12" s="675">
        <f>'Basic Info'!C27</f>
        <v>0</v>
      </c>
      <c r="D12" s="1267" t="s">
        <v>718</v>
      </c>
      <c r="E12" s="1268"/>
      <c r="F12" s="1268"/>
      <c r="G12" s="1268"/>
      <c r="H12" s="1268"/>
      <c r="I12" s="1268"/>
      <c r="J12" s="1269"/>
    </row>
    <row r="13" spans="1:10" ht="13.5" thickBot="1">
      <c r="A13" s="81"/>
      <c r="B13" s="674" t="s">
        <v>338</v>
      </c>
      <c r="C13" s="675">
        <f>'Basic Info'!C26</f>
        <v>0</v>
      </c>
      <c r="D13" s="1267" t="s">
        <v>716</v>
      </c>
      <c r="E13" s="1264"/>
      <c r="F13" s="1264"/>
      <c r="G13" s="1264"/>
      <c r="H13" s="1264"/>
      <c r="I13" s="1264"/>
      <c r="J13" s="1265"/>
    </row>
    <row r="14" spans="1:10" ht="13.5" thickBot="1">
      <c r="A14" s="81"/>
      <c r="B14" s="676" t="s">
        <v>345</v>
      </c>
      <c r="C14" s="677">
        <f>SUM(C10:C12)</f>
        <v>0</v>
      </c>
      <c r="D14" s="81"/>
      <c r="E14" s="81"/>
      <c r="F14" s="81"/>
      <c r="G14" s="81"/>
      <c r="H14" s="81"/>
      <c r="I14" s="81"/>
      <c r="J14" s="81"/>
    </row>
    <row r="15" spans="1:10" ht="12.75">
      <c r="A15" s="81"/>
      <c r="B15" s="81"/>
      <c r="C15" s="81"/>
      <c r="D15" s="81"/>
      <c r="E15" s="81"/>
      <c r="F15" s="81"/>
      <c r="G15" s="81"/>
      <c r="H15" s="81"/>
      <c r="I15" s="81"/>
      <c r="J15" s="81"/>
    </row>
    <row r="16" spans="1:10" ht="13.5" thickBot="1">
      <c r="A16" s="81"/>
      <c r="B16" s="82" t="s">
        <v>346</v>
      </c>
      <c r="C16" s="81"/>
      <c r="D16" s="81"/>
      <c r="E16" s="81"/>
      <c r="F16" s="81"/>
      <c r="G16" s="81"/>
      <c r="H16" s="81"/>
      <c r="I16" s="81"/>
      <c r="J16" s="81"/>
    </row>
    <row r="17" spans="1:10" ht="13.5" thickBot="1">
      <c r="A17" s="81"/>
      <c r="B17" s="671" t="s">
        <v>347</v>
      </c>
      <c r="C17" s="73"/>
      <c r="D17" s="150" t="s">
        <v>348</v>
      </c>
      <c r="E17" s="81"/>
      <c r="F17" s="81"/>
      <c r="G17" s="81"/>
      <c r="H17" s="81"/>
      <c r="I17" s="81"/>
      <c r="J17" s="81"/>
    </row>
    <row r="18" spans="1:11" ht="13.5" thickBot="1">
      <c r="A18" s="81"/>
      <c r="B18" s="673" t="s">
        <v>340</v>
      </c>
      <c r="C18" s="77"/>
      <c r="D18" s="130" t="s">
        <v>349</v>
      </c>
      <c r="E18" s="81"/>
      <c r="F18" s="81"/>
      <c r="G18" s="81"/>
      <c r="H18" s="81"/>
      <c r="I18" s="81"/>
      <c r="J18" s="81"/>
      <c r="K18" s="796"/>
    </row>
    <row r="19" spans="1:11" ht="13.5" thickBot="1">
      <c r="A19" s="81"/>
      <c r="B19" s="673" t="s">
        <v>529</v>
      </c>
      <c r="C19" s="77"/>
      <c r="D19" s="130" t="s">
        <v>16</v>
      </c>
      <c r="E19" s="81"/>
      <c r="F19" s="81"/>
      <c r="G19" s="81"/>
      <c r="H19" s="81"/>
      <c r="I19" s="81"/>
      <c r="J19" s="81"/>
      <c r="K19" s="796"/>
    </row>
    <row r="20" spans="1:10" ht="12.75">
      <c r="A20" s="81"/>
      <c r="B20" s="81"/>
      <c r="C20" s="81"/>
      <c r="D20" s="81"/>
      <c r="E20" s="81"/>
      <c r="F20" s="81"/>
      <c r="G20" s="81"/>
      <c r="H20" s="81"/>
      <c r="I20" s="81"/>
      <c r="J20" s="81"/>
    </row>
    <row r="21" spans="1:10" ht="13.5" thickBot="1">
      <c r="A21" s="81"/>
      <c r="B21" s="82" t="s">
        <v>350</v>
      </c>
      <c r="C21" s="81"/>
      <c r="D21" s="81"/>
      <c r="E21" s="81"/>
      <c r="F21" s="81"/>
      <c r="G21" s="81"/>
      <c r="H21" s="81"/>
      <c r="I21" s="81"/>
      <c r="J21" s="81"/>
    </row>
    <row r="22" spans="1:10" ht="13.5" thickBot="1">
      <c r="A22" s="81"/>
      <c r="B22" s="678"/>
      <c r="C22" s="1270" t="s">
        <v>241</v>
      </c>
      <c r="D22" s="1271"/>
      <c r="E22" s="1272"/>
      <c r="F22" s="1270" t="s">
        <v>242</v>
      </c>
      <c r="G22" s="1271"/>
      <c r="H22" s="1273"/>
      <c r="I22" s="842" t="s">
        <v>645</v>
      </c>
      <c r="J22" s="995" t="s">
        <v>352</v>
      </c>
    </row>
    <row r="23" spans="1:10" ht="13.5" thickBot="1">
      <c r="A23" s="81"/>
      <c r="B23" s="679"/>
      <c r="C23" s="166" t="s">
        <v>17</v>
      </c>
      <c r="D23" s="680" t="s">
        <v>353</v>
      </c>
      <c r="E23" s="159" t="s">
        <v>357</v>
      </c>
      <c r="F23" s="166" t="s">
        <v>17</v>
      </c>
      <c r="G23" s="160" t="s">
        <v>353</v>
      </c>
      <c r="H23" s="160" t="s">
        <v>357</v>
      </c>
      <c r="I23" s="843"/>
      <c r="J23" s="1274"/>
    </row>
    <row r="24" spans="1:10" ht="13.5" thickBot="1">
      <c r="A24" s="81"/>
      <c r="B24" s="673" t="s">
        <v>358</v>
      </c>
      <c r="C24" s="162" t="e">
        <f>100000*SUMIF('Results from eQUEST'!$AX$7:$BI$7,B24,'Results from eQUEST'!$AX$17:$BI$17)</f>
        <v>#DIV/0!</v>
      </c>
      <c r="D24" s="681" t="e">
        <f>3412*SUMIF('Results from eQUEST'!$L$7:$W$7,'Simulation Summary'!B24,'Results from eQUEST'!$L$17:$W$17)</f>
        <v>#DIV/0!</v>
      </c>
      <c r="E24" s="682" t="e">
        <f aca="true" t="shared" si="0" ref="E24:E29">C24/100000*$C$18+D24/3412*$C$17</f>
        <v>#DIV/0!</v>
      </c>
      <c r="F24" s="681">
        <f>100000*SUMIF('Results from eQUEST'!$AX$7:$BI$7,B24,'Results from eQUEST'!$AX$19:$BI$19)</f>
        <v>0</v>
      </c>
      <c r="G24" s="681">
        <f>3412*SUMIF('Results from eQUEST'!$L$7:$W$7,'Simulation Summary'!B24,'Results from eQUEST'!$L$19:$W$19)</f>
        <v>0</v>
      </c>
      <c r="H24" s="683">
        <f aca="true" t="shared" si="1" ref="H24:H29">F24/100000*$C$18+G24/3412*$C$17</f>
        <v>0</v>
      </c>
      <c r="I24" s="684" t="e">
        <f>IF(SUM(C24:D24)=0,0,(SUM(C24:D24)-SUM(F24:G24))/SUM(C24:D24))</f>
        <v>#DIV/0!</v>
      </c>
      <c r="J24" s="685" t="e">
        <f>IF(E24=0,0,(E24-H24)/E24)</f>
        <v>#DIV/0!</v>
      </c>
    </row>
    <row r="25" spans="1:10" ht="13.5" thickBot="1">
      <c r="A25" s="81"/>
      <c r="B25" s="673" t="s">
        <v>359</v>
      </c>
      <c r="C25" s="162" t="e">
        <f>100000*SUMIF('Results from eQUEST'!$AX$7:$BI$7,B25,'Results from eQUEST'!$AX$17:$BI$17)</f>
        <v>#DIV/0!</v>
      </c>
      <c r="D25" s="681" t="e">
        <f>3412*SUMIF('Results from eQUEST'!$L$7:$W$7,'Simulation Summary'!B25,'Results from eQUEST'!$L$17:$W$17)</f>
        <v>#DIV/0!</v>
      </c>
      <c r="E25" s="682" t="e">
        <f t="shared" si="0"/>
        <v>#DIV/0!</v>
      </c>
      <c r="F25" s="681">
        <f>100000*SUMIF('Results from eQUEST'!$AX$7:$BI$7,B25,'Results from eQUEST'!$AX$19:$BI$19)</f>
        <v>0</v>
      </c>
      <c r="G25" s="681">
        <f>3412*SUMIF('Results from eQUEST'!$L$7:$W$7,'Simulation Summary'!B25,'Results from eQUEST'!$L$19:$W$19)</f>
        <v>0</v>
      </c>
      <c r="H25" s="683">
        <f t="shared" si="1"/>
        <v>0</v>
      </c>
      <c r="I25" s="684" t="e">
        <f aca="true" t="shared" si="2" ref="I25:I30">IF(SUM(C25:D25)=0,0,(SUM(C25:D25)-SUM(F25:G25))/SUM(C25:D25))</f>
        <v>#DIV/0!</v>
      </c>
      <c r="J25" s="685" t="e">
        <f aca="true" t="shared" si="3" ref="J25:J30">IF(E25=0,0,(E25-H25)/E25)</f>
        <v>#DIV/0!</v>
      </c>
    </row>
    <row r="26" spans="1:10" ht="13.5" thickBot="1">
      <c r="A26" s="81"/>
      <c r="B26" s="673" t="s">
        <v>360</v>
      </c>
      <c r="C26" s="162" t="e">
        <f>100000*SUMIF('Results from eQUEST'!$AX$7:$BI$7,B26,'Results from eQUEST'!$AX$17:$BI$17)</f>
        <v>#DIV/0!</v>
      </c>
      <c r="D26" s="681" t="e">
        <f>3412*SUMIF('Results from eQUEST'!$L$7:$W$7,'Simulation Summary'!B26,'Results from eQUEST'!$L$17:$W$17)</f>
        <v>#DIV/0!</v>
      </c>
      <c r="E26" s="682" t="e">
        <f t="shared" si="0"/>
        <v>#DIV/0!</v>
      </c>
      <c r="F26" s="681">
        <f>100000*SUMIF('Results from eQUEST'!$AX$7:$BI$7,B26,'Results from eQUEST'!$AX$19:$BI$19)</f>
        <v>0</v>
      </c>
      <c r="G26" s="681">
        <f>3412*SUMIF('Results from eQUEST'!$L$7:$W$7,'Simulation Summary'!B26,'Results from eQUEST'!$L$19:$W$19)</f>
        <v>0</v>
      </c>
      <c r="H26" s="683">
        <f t="shared" si="1"/>
        <v>0</v>
      </c>
      <c r="I26" s="684" t="e">
        <f t="shared" si="2"/>
        <v>#DIV/0!</v>
      </c>
      <c r="J26" s="685" t="e">
        <f t="shared" si="3"/>
        <v>#DIV/0!</v>
      </c>
    </row>
    <row r="27" spans="1:12" ht="13.5" thickBot="1">
      <c r="A27" s="81"/>
      <c r="B27" s="673" t="s">
        <v>361</v>
      </c>
      <c r="C27" s="162" t="e">
        <f>100000*SUMIF('Results from eQUEST'!$AX$7:$BI$7,B27,'Results from eQUEST'!$AX$17:$BI$17)</f>
        <v>#DIV/0!</v>
      </c>
      <c r="D27" s="681" t="e">
        <f>3412*SUMIF('Results from eQUEST'!$L$7:$W$7,'Simulation Summary'!B27,'Results from eQUEST'!$L$17:$W$17)</f>
        <v>#DIV/0!</v>
      </c>
      <c r="E27" s="682" t="e">
        <f t="shared" si="0"/>
        <v>#DIV/0!</v>
      </c>
      <c r="F27" s="681">
        <f>100000*SUMIF('Results from eQUEST'!$AX$7:$BI$7,B27,'Results from eQUEST'!$AX$19:$BI$19)</f>
        <v>0</v>
      </c>
      <c r="G27" s="681">
        <f>3412*SUMIF('Results from eQUEST'!$L$7:$W$7,'Simulation Summary'!B27,'Results from eQUEST'!$L$19:$W$19)</f>
        <v>0</v>
      </c>
      <c r="H27" s="683">
        <f t="shared" si="1"/>
        <v>0</v>
      </c>
      <c r="I27" s="684" t="e">
        <f t="shared" si="2"/>
        <v>#DIV/0!</v>
      </c>
      <c r="J27" s="685" t="e">
        <f t="shared" si="3"/>
        <v>#DIV/0!</v>
      </c>
      <c r="L27" s="725"/>
    </row>
    <row r="28" spans="1:10" ht="13.5" thickBot="1">
      <c r="A28" s="81"/>
      <c r="B28" s="673" t="s">
        <v>362</v>
      </c>
      <c r="C28" s="162" t="e">
        <f>100000*SUMIF('Results from eQUEST'!$AX$7:$BI$7,B28,'Results from eQUEST'!$AX$17:$BI$17)</f>
        <v>#DIV/0!</v>
      </c>
      <c r="D28" s="681" t="e">
        <f>3412*SUMIF('Results from eQUEST'!$L$7:$W$7,'Simulation Summary'!B28,'Results from eQUEST'!$L$17:$W$17)</f>
        <v>#DIV/0!</v>
      </c>
      <c r="E28" s="682" t="e">
        <f t="shared" si="0"/>
        <v>#DIV/0!</v>
      </c>
      <c r="F28" s="681">
        <f>100000*SUMIF('Results from eQUEST'!$AX$7:$BI$7,B28,'Results from eQUEST'!$AX$19:$BI$19)</f>
        <v>0</v>
      </c>
      <c r="G28" s="681">
        <f>3412*SUMIF('Results from eQUEST'!$L$7:$W$7,'Simulation Summary'!B28,'Results from eQUEST'!$L$19:$W$19)</f>
        <v>0</v>
      </c>
      <c r="H28" s="683">
        <f t="shared" si="1"/>
        <v>0</v>
      </c>
      <c r="I28" s="684" t="e">
        <f t="shared" si="2"/>
        <v>#DIV/0!</v>
      </c>
      <c r="J28" s="685" t="e">
        <f t="shared" si="3"/>
        <v>#DIV/0!</v>
      </c>
    </row>
    <row r="29" spans="1:10" ht="13.5" thickBot="1">
      <c r="A29" s="81"/>
      <c r="B29" s="673" t="s">
        <v>363</v>
      </c>
      <c r="C29" s="162" t="e">
        <f>100000*SUMIF('Results from eQUEST'!$AX$7:$BI$7,B29,'Results from eQUEST'!$AX$17:$BI$17)</f>
        <v>#DIV/0!</v>
      </c>
      <c r="D29" s="681" t="e">
        <f>3412*SUMIF('Results from eQUEST'!$L$7:$W$7,'Simulation Summary'!B29,'Results from eQUEST'!$L$17:$W$17)</f>
        <v>#DIV/0!</v>
      </c>
      <c r="E29" s="682" t="e">
        <f t="shared" si="0"/>
        <v>#DIV/0!</v>
      </c>
      <c r="F29" s="681">
        <f>100000*SUMIF('Results from eQUEST'!$AX$7:$BI$7,B29,'Results from eQUEST'!$AX$19:$BI$19)</f>
        <v>0</v>
      </c>
      <c r="G29" s="681">
        <f>3412*SUMIF('Results from eQUEST'!$L$7:$W$7,'Simulation Summary'!B29,'Results from eQUEST'!$L$19:$W$19)</f>
        <v>0</v>
      </c>
      <c r="H29" s="683">
        <f t="shared" si="1"/>
        <v>0</v>
      </c>
      <c r="I29" s="684" t="e">
        <f t="shared" si="2"/>
        <v>#DIV/0!</v>
      </c>
      <c r="J29" s="685" t="e">
        <f t="shared" si="3"/>
        <v>#DIV/0!</v>
      </c>
    </row>
    <row r="30" spans="1:10" ht="13.5" thickBot="1">
      <c r="A30" s="81"/>
      <c r="B30" s="686" t="s">
        <v>332</v>
      </c>
      <c r="C30" s="162" t="e">
        <f aca="true" t="shared" si="4" ref="C30:H30">SUM(C24:C29)</f>
        <v>#DIV/0!</v>
      </c>
      <c r="D30" s="162" t="e">
        <f t="shared" si="4"/>
        <v>#DIV/0!</v>
      </c>
      <c r="E30" s="687" t="e">
        <f t="shared" si="4"/>
        <v>#DIV/0!</v>
      </c>
      <c r="F30" s="688">
        <f t="shared" si="4"/>
        <v>0</v>
      </c>
      <c r="G30" s="688">
        <f t="shared" si="4"/>
        <v>0</v>
      </c>
      <c r="H30" s="689">
        <f t="shared" si="4"/>
        <v>0</v>
      </c>
      <c r="I30" s="690" t="e">
        <f t="shared" si="2"/>
        <v>#DIV/0!</v>
      </c>
      <c r="J30" s="691" t="e">
        <f t="shared" si="3"/>
        <v>#DIV/0!</v>
      </c>
    </row>
    <row r="31" ht="13.5" thickBot="1">
      <c r="G31" s="755"/>
    </row>
    <row r="32" spans="1:12" ht="13.5" thickBot="1">
      <c r="A32" s="81"/>
      <c r="G32" s="797"/>
      <c r="H32" s="682" t="e">
        <f>F30*C18/100000/('Reporting Summary'!I31)/12</f>
        <v>#DIV/0!</v>
      </c>
      <c r="I32" s="83" t="s">
        <v>641</v>
      </c>
      <c r="J32" s="81"/>
      <c r="K32" s="81"/>
      <c r="L32" s="81"/>
    </row>
    <row r="33" spans="1:12" ht="13.5" thickBot="1">
      <c r="A33" s="81"/>
      <c r="G33" s="797"/>
      <c r="H33" s="682" t="e">
        <f>G30*C17/3412/12/('Reporting Summary'!I31)</f>
        <v>#DIV/0!</v>
      </c>
      <c r="I33" s="83" t="s">
        <v>640</v>
      </c>
      <c r="J33" s="81"/>
      <c r="K33" s="81"/>
      <c r="L33" s="81"/>
    </row>
    <row r="34" ht="12.75">
      <c r="A34" s="81"/>
    </row>
    <row r="35" spans="1:2" ht="13.5" thickBot="1">
      <c r="A35" s="81"/>
      <c r="B35" s="82" t="s">
        <v>838</v>
      </c>
    </row>
    <row r="36" spans="1:10" ht="13.5" thickBot="1">
      <c r="A36" s="81"/>
      <c r="B36" s="678"/>
      <c r="C36" s="1270" t="s">
        <v>241</v>
      </c>
      <c r="D36" s="1271"/>
      <c r="E36" s="1272"/>
      <c r="F36" s="1270" t="s">
        <v>242</v>
      </c>
      <c r="G36" s="1271"/>
      <c r="H36" s="1273"/>
      <c r="I36" s="842" t="s">
        <v>645</v>
      </c>
      <c r="J36" s="995" t="s">
        <v>352</v>
      </c>
    </row>
    <row r="37" spans="1:10" ht="15" customHeight="1" thickBot="1">
      <c r="A37" s="81"/>
      <c r="B37" s="679"/>
      <c r="C37" s="798" t="s">
        <v>837</v>
      </c>
      <c r="D37" s="680" t="s">
        <v>836</v>
      </c>
      <c r="E37" s="159" t="s">
        <v>357</v>
      </c>
      <c r="F37" s="798" t="s">
        <v>837</v>
      </c>
      <c r="G37" s="160" t="s">
        <v>836</v>
      </c>
      <c r="H37" s="160" t="s">
        <v>357</v>
      </c>
      <c r="I37" s="843"/>
      <c r="J37" s="1274"/>
    </row>
    <row r="38" spans="1:10" ht="13.5" thickBot="1">
      <c r="A38" s="81"/>
      <c r="B38" s="673" t="s">
        <v>358</v>
      </c>
      <c r="C38" s="162" t="e">
        <f>C24/100000</f>
        <v>#DIV/0!</v>
      </c>
      <c r="D38" s="681" t="e">
        <f>D24/3412</f>
        <v>#DIV/0!</v>
      </c>
      <c r="E38" s="682" t="e">
        <f>E24</f>
        <v>#DIV/0!</v>
      </c>
      <c r="F38" s="681">
        <f>F24/100000</f>
        <v>0</v>
      </c>
      <c r="G38" s="681">
        <f>G24/3412</f>
        <v>0</v>
      </c>
      <c r="H38" s="683">
        <f>H24</f>
        <v>0</v>
      </c>
      <c r="I38" s="684" t="e">
        <f>I24</f>
        <v>#DIV/0!</v>
      </c>
      <c r="J38" s="685" t="e">
        <f>J24</f>
        <v>#DIV/0!</v>
      </c>
    </row>
    <row r="39" spans="1:10" ht="13.5" thickBot="1">
      <c r="A39" s="81"/>
      <c r="B39" s="673" t="s">
        <v>359</v>
      </c>
      <c r="C39" s="162" t="e">
        <f aca="true" t="shared" si="5" ref="C39:C44">C25/100000</f>
        <v>#DIV/0!</v>
      </c>
      <c r="D39" s="681" t="e">
        <f aca="true" t="shared" si="6" ref="D39:D44">D25/3412</f>
        <v>#DIV/0!</v>
      </c>
      <c r="E39" s="682" t="e">
        <f aca="true" t="shared" si="7" ref="E39:E44">E25</f>
        <v>#DIV/0!</v>
      </c>
      <c r="F39" s="681">
        <f aca="true" t="shared" si="8" ref="F39:F44">F25/100000</f>
        <v>0</v>
      </c>
      <c r="G39" s="681">
        <f aca="true" t="shared" si="9" ref="G39:G44">G25/3412</f>
        <v>0</v>
      </c>
      <c r="H39" s="683">
        <f aca="true" t="shared" si="10" ref="H39:J44">H25</f>
        <v>0</v>
      </c>
      <c r="I39" s="684" t="e">
        <f t="shared" si="10"/>
        <v>#DIV/0!</v>
      </c>
      <c r="J39" s="685" t="e">
        <f t="shared" si="10"/>
        <v>#DIV/0!</v>
      </c>
    </row>
    <row r="40" spans="1:10" ht="13.5" thickBot="1">
      <c r="A40" s="81"/>
      <c r="B40" s="673" t="s">
        <v>360</v>
      </c>
      <c r="C40" s="162" t="e">
        <f t="shared" si="5"/>
        <v>#DIV/0!</v>
      </c>
      <c r="D40" s="681" t="e">
        <f t="shared" si="6"/>
        <v>#DIV/0!</v>
      </c>
      <c r="E40" s="682" t="e">
        <f t="shared" si="7"/>
        <v>#DIV/0!</v>
      </c>
      <c r="F40" s="681">
        <f t="shared" si="8"/>
        <v>0</v>
      </c>
      <c r="G40" s="681">
        <f t="shared" si="9"/>
        <v>0</v>
      </c>
      <c r="H40" s="683">
        <f t="shared" si="10"/>
        <v>0</v>
      </c>
      <c r="I40" s="684" t="e">
        <f t="shared" si="10"/>
        <v>#DIV/0!</v>
      </c>
      <c r="J40" s="685" t="e">
        <f t="shared" si="10"/>
        <v>#DIV/0!</v>
      </c>
    </row>
    <row r="41" spans="1:10" ht="13.5" thickBot="1">
      <c r="A41" s="81"/>
      <c r="B41" s="673" t="s">
        <v>361</v>
      </c>
      <c r="C41" s="162" t="e">
        <f t="shared" si="5"/>
        <v>#DIV/0!</v>
      </c>
      <c r="D41" s="681" t="e">
        <f t="shared" si="6"/>
        <v>#DIV/0!</v>
      </c>
      <c r="E41" s="682" t="e">
        <f t="shared" si="7"/>
        <v>#DIV/0!</v>
      </c>
      <c r="F41" s="681">
        <f t="shared" si="8"/>
        <v>0</v>
      </c>
      <c r="G41" s="681">
        <f t="shared" si="9"/>
        <v>0</v>
      </c>
      <c r="H41" s="683">
        <f t="shared" si="10"/>
        <v>0</v>
      </c>
      <c r="I41" s="684" t="e">
        <f t="shared" si="10"/>
        <v>#DIV/0!</v>
      </c>
      <c r="J41" s="685" t="e">
        <f t="shared" si="10"/>
        <v>#DIV/0!</v>
      </c>
    </row>
    <row r="42" spans="1:10" ht="13.5" thickBot="1">
      <c r="A42" s="81"/>
      <c r="B42" s="673" t="s">
        <v>362</v>
      </c>
      <c r="C42" s="162" t="e">
        <f t="shared" si="5"/>
        <v>#DIV/0!</v>
      </c>
      <c r="D42" s="681" t="e">
        <f t="shared" si="6"/>
        <v>#DIV/0!</v>
      </c>
      <c r="E42" s="682" t="e">
        <f t="shared" si="7"/>
        <v>#DIV/0!</v>
      </c>
      <c r="F42" s="681">
        <f t="shared" si="8"/>
        <v>0</v>
      </c>
      <c r="G42" s="681">
        <f t="shared" si="9"/>
        <v>0</v>
      </c>
      <c r="H42" s="683">
        <f t="shared" si="10"/>
        <v>0</v>
      </c>
      <c r="I42" s="684" t="e">
        <f t="shared" si="10"/>
        <v>#DIV/0!</v>
      </c>
      <c r="J42" s="685" t="e">
        <f t="shared" si="10"/>
        <v>#DIV/0!</v>
      </c>
    </row>
    <row r="43" spans="1:12" ht="13.5" thickBot="1">
      <c r="A43" s="81"/>
      <c r="B43" s="673" t="s">
        <v>363</v>
      </c>
      <c r="C43" s="162" t="e">
        <f t="shared" si="5"/>
        <v>#DIV/0!</v>
      </c>
      <c r="D43" s="681" t="e">
        <f t="shared" si="6"/>
        <v>#DIV/0!</v>
      </c>
      <c r="E43" s="682" t="e">
        <f t="shared" si="7"/>
        <v>#DIV/0!</v>
      </c>
      <c r="F43" s="681">
        <f t="shared" si="8"/>
        <v>0</v>
      </c>
      <c r="G43" s="681">
        <f t="shared" si="9"/>
        <v>0</v>
      </c>
      <c r="H43" s="683">
        <f t="shared" si="10"/>
        <v>0</v>
      </c>
      <c r="I43" s="684" t="e">
        <f t="shared" si="10"/>
        <v>#DIV/0!</v>
      </c>
      <c r="J43" s="685" t="e">
        <f t="shared" si="10"/>
        <v>#DIV/0!</v>
      </c>
      <c r="K43" s="81"/>
      <c r="L43" s="81"/>
    </row>
    <row r="44" spans="2:10" ht="13.5" thickBot="1">
      <c r="B44" s="686" t="s">
        <v>332</v>
      </c>
      <c r="C44" s="162" t="e">
        <f t="shared" si="5"/>
        <v>#DIV/0!</v>
      </c>
      <c r="D44" s="681" t="e">
        <f t="shared" si="6"/>
        <v>#DIV/0!</v>
      </c>
      <c r="E44" s="682" t="e">
        <f t="shared" si="7"/>
        <v>#DIV/0!</v>
      </c>
      <c r="F44" s="681">
        <f t="shared" si="8"/>
        <v>0</v>
      </c>
      <c r="G44" s="681">
        <f t="shared" si="9"/>
        <v>0</v>
      </c>
      <c r="H44" s="683">
        <f t="shared" si="10"/>
        <v>0</v>
      </c>
      <c r="I44" s="684" t="e">
        <f t="shared" si="10"/>
        <v>#DIV/0!</v>
      </c>
      <c r="J44" s="685" t="e">
        <f t="shared" si="10"/>
        <v>#DIV/0!</v>
      </c>
    </row>
    <row r="47" spans="2:4" ht="12.75">
      <c r="B47" s="82" t="s">
        <v>368</v>
      </c>
      <c r="C47" s="81"/>
      <c r="D47" s="81"/>
    </row>
    <row r="48" spans="2:4" ht="13.5" thickBot="1">
      <c r="B48" s="81"/>
      <c r="C48" s="81"/>
      <c r="D48" s="81"/>
    </row>
    <row r="49" spans="2:4" ht="13.5" thickBot="1">
      <c r="B49" s="679"/>
      <c r="C49" s="166" t="s">
        <v>241</v>
      </c>
      <c r="D49" s="159" t="s">
        <v>242</v>
      </c>
    </row>
    <row r="50" spans="2:4" ht="13.5" thickBot="1">
      <c r="B50" s="679"/>
      <c r="C50" s="166" t="s">
        <v>369</v>
      </c>
      <c r="D50" s="159" t="s">
        <v>369</v>
      </c>
    </row>
    <row r="51" spans="2:4" ht="13.5" thickBot="1">
      <c r="B51" s="673" t="s">
        <v>358</v>
      </c>
      <c r="C51" s="173">
        <f aca="true" t="shared" si="11" ref="C51:C56">IF($C$14=0,0,SUM(C24:D24)/$C$14)</f>
        <v>0</v>
      </c>
      <c r="D51" s="162">
        <f aca="true" t="shared" si="12" ref="D51:D56">IF($C$14=0,0,SUM(F24:G24)/$C$14)</f>
        <v>0</v>
      </c>
    </row>
    <row r="52" spans="2:4" ht="13.5" thickBot="1">
      <c r="B52" s="673" t="s">
        <v>359</v>
      </c>
      <c r="C52" s="173">
        <f t="shared" si="11"/>
        <v>0</v>
      </c>
      <c r="D52" s="162">
        <f t="shared" si="12"/>
        <v>0</v>
      </c>
    </row>
    <row r="53" spans="2:4" ht="13.5" thickBot="1">
      <c r="B53" s="673" t="s">
        <v>360</v>
      </c>
      <c r="C53" s="173">
        <f t="shared" si="11"/>
        <v>0</v>
      </c>
      <c r="D53" s="162">
        <f t="shared" si="12"/>
        <v>0</v>
      </c>
    </row>
    <row r="54" spans="2:4" ht="13.5" thickBot="1">
      <c r="B54" s="673" t="s">
        <v>361</v>
      </c>
      <c r="C54" s="173">
        <f t="shared" si="11"/>
        <v>0</v>
      </c>
      <c r="D54" s="162">
        <f t="shared" si="12"/>
        <v>0</v>
      </c>
    </row>
    <row r="55" spans="2:4" ht="13.5" thickBot="1">
      <c r="B55" s="673" t="s">
        <v>362</v>
      </c>
      <c r="C55" s="173">
        <f t="shared" si="11"/>
        <v>0</v>
      </c>
      <c r="D55" s="162">
        <f t="shared" si="12"/>
        <v>0</v>
      </c>
    </row>
    <row r="56" spans="2:4" ht="13.5" thickBot="1">
      <c r="B56" s="673" t="s">
        <v>363</v>
      </c>
      <c r="C56" s="173">
        <f t="shared" si="11"/>
        <v>0</v>
      </c>
      <c r="D56" s="162">
        <f t="shared" si="12"/>
        <v>0</v>
      </c>
    </row>
    <row r="57" spans="2:6" ht="13.5" thickBot="1">
      <c r="B57" s="686" t="s">
        <v>332</v>
      </c>
      <c r="C57" s="173">
        <f>SUM(C51:C56)</f>
        <v>0</v>
      </c>
      <c r="D57" s="162">
        <f>SUM(D51:D56)</f>
        <v>0</v>
      </c>
      <c r="F57" s="725"/>
    </row>
    <row r="59" ht="12.75">
      <c r="F59" s="725"/>
    </row>
    <row r="60" ht="12.75">
      <c r="D60" s="725"/>
    </row>
  </sheetData>
  <sheetProtection sheet="1" objects="1" scenarios="1" insertColumns="0" insertRows="0"/>
  <mergeCells count="13">
    <mergeCell ref="C36:E36"/>
    <mergeCell ref="F36:H36"/>
    <mergeCell ref="I36:I37"/>
    <mergeCell ref="J36:J37"/>
    <mergeCell ref="I22:I23"/>
    <mergeCell ref="J22:J23"/>
    <mergeCell ref="D9:J9"/>
    <mergeCell ref="D10:J10"/>
    <mergeCell ref="D11:J11"/>
    <mergeCell ref="D12:J12"/>
    <mergeCell ref="D13:J13"/>
    <mergeCell ref="C22:E22"/>
    <mergeCell ref="F22:H22"/>
  </mergeCells>
  <printOptions/>
  <pageMargins left="0.75" right="0.75" top="1" bottom="1" header="0.5" footer="0.5"/>
  <pageSetup horizontalDpi="300" verticalDpi="300" orientation="landscape" r:id="rId1"/>
  <ignoredErrors>
    <ignoredError sqref="C11" formulaRange="1"/>
  </ignoredErrors>
</worksheet>
</file>

<file path=xl/worksheets/sheet18.xml><?xml version="1.0" encoding="utf-8"?>
<worksheet xmlns="http://schemas.openxmlformats.org/spreadsheetml/2006/main" xmlns:r="http://schemas.openxmlformats.org/officeDocument/2006/relationships">
  <sheetPr>
    <tabColor indexed="44"/>
  </sheetPr>
  <dimension ref="A1:C16"/>
  <sheetViews>
    <sheetView showGridLines="0" zoomScalePageLayoutView="0" workbookViewId="0" topLeftCell="A1">
      <selection activeCell="E18" sqref="E18"/>
    </sheetView>
  </sheetViews>
  <sheetFormatPr defaultColWidth="9.140625" defaultRowHeight="12.75"/>
  <cols>
    <col min="1" max="1" width="33.57421875" style="7" customWidth="1"/>
    <col min="2" max="2" width="31.28125" style="7" customWidth="1"/>
    <col min="3" max="3" width="23.57421875" style="7" customWidth="1"/>
    <col min="4" max="4" width="9.140625" style="7" customWidth="1"/>
    <col min="5" max="5" width="34.7109375" style="7" customWidth="1"/>
    <col min="6" max="6" width="34.421875" style="7" customWidth="1"/>
    <col min="7" max="16384" width="9.140625" style="7" customWidth="1"/>
  </cols>
  <sheetData>
    <row r="1" spans="1:2" ht="15.75" thickBot="1">
      <c r="A1" s="1275" t="s">
        <v>174</v>
      </c>
      <c r="B1" s="1276"/>
    </row>
    <row r="2" spans="1:2" ht="15">
      <c r="A2" s="8" t="s">
        <v>175</v>
      </c>
      <c r="B2" s="9" t="s">
        <v>176</v>
      </c>
    </row>
    <row r="3" spans="1:2" ht="15">
      <c r="A3" s="10" t="s">
        <v>177</v>
      </c>
      <c r="B3" s="11">
        <v>1.6</v>
      </c>
    </row>
    <row r="4" spans="1:2" ht="15">
      <c r="A4" s="10" t="s">
        <v>178</v>
      </c>
      <c r="B4" s="11">
        <v>1</v>
      </c>
    </row>
    <row r="5" spans="1:2" ht="15">
      <c r="A5" s="10" t="s">
        <v>179</v>
      </c>
      <c r="B5" s="11">
        <v>2.5</v>
      </c>
    </row>
    <row r="6" spans="1:2" ht="15">
      <c r="A6" s="10" t="s">
        <v>180</v>
      </c>
      <c r="B6" s="11">
        <v>2.5</v>
      </c>
    </row>
    <row r="7" spans="1:2" ht="15.75" thickBot="1">
      <c r="A7" s="12" t="s">
        <v>181</v>
      </c>
      <c r="B7" s="13">
        <v>2.5</v>
      </c>
    </row>
    <row r="9" ht="15.75" thickBot="1"/>
    <row r="10" spans="1:3" ht="15.75" thickBot="1">
      <c r="A10" s="1275" t="s">
        <v>182</v>
      </c>
      <c r="B10" s="1277"/>
      <c r="C10" s="1276"/>
    </row>
    <row r="11" spans="1:3" ht="15">
      <c r="A11" s="8" t="s">
        <v>183</v>
      </c>
      <c r="B11" s="14" t="s">
        <v>184</v>
      </c>
      <c r="C11" s="9" t="s">
        <v>185</v>
      </c>
    </row>
    <row r="12" spans="1:3" ht="15">
      <c r="A12" s="15" t="s">
        <v>305</v>
      </c>
      <c r="B12" s="16" t="s">
        <v>186</v>
      </c>
      <c r="C12" s="17">
        <v>5</v>
      </c>
    </row>
    <row r="13" spans="1:3" ht="15">
      <c r="A13" s="18" t="s">
        <v>306</v>
      </c>
      <c r="B13" s="16" t="s">
        <v>186</v>
      </c>
      <c r="C13" s="19">
        <v>5</v>
      </c>
    </row>
    <row r="14" spans="1:3" ht="15">
      <c r="A14" s="15" t="s">
        <v>171</v>
      </c>
      <c r="B14" s="16">
        <v>300</v>
      </c>
      <c r="C14" s="17">
        <v>1</v>
      </c>
    </row>
    <row r="15" spans="1:3" ht="15">
      <c r="A15" s="15" t="s">
        <v>172</v>
      </c>
      <c r="B15" s="16">
        <v>15</v>
      </c>
      <c r="C15" s="17">
        <v>5</v>
      </c>
    </row>
    <row r="16" spans="1:3" ht="15.75" thickBot="1">
      <c r="A16" s="20" t="s">
        <v>173</v>
      </c>
      <c r="B16" s="21">
        <v>60</v>
      </c>
      <c r="C16" s="22">
        <v>4</v>
      </c>
    </row>
  </sheetData>
  <sheetProtection/>
  <mergeCells count="2">
    <mergeCell ref="A1:B1"/>
    <mergeCell ref="A10:C10"/>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K30"/>
  <sheetViews>
    <sheetView showGridLines="0" zoomScalePageLayoutView="0" workbookViewId="0" topLeftCell="A1">
      <selection activeCell="B40" sqref="B40"/>
    </sheetView>
  </sheetViews>
  <sheetFormatPr defaultColWidth="9.140625" defaultRowHeight="12.75"/>
  <cols>
    <col min="1" max="1" width="3.00390625" style="724" customWidth="1"/>
    <col min="2" max="2" width="35.28125" style="724" customWidth="1"/>
    <col min="3" max="3" width="19.421875" style="724" bestFit="1" customWidth="1"/>
    <col min="4" max="4" width="20.57421875" style="724" customWidth="1"/>
    <col min="5" max="5" width="14.140625" style="724" customWidth="1"/>
    <col min="6" max="6" width="13.8515625" style="724" customWidth="1"/>
    <col min="7" max="8" width="9.140625" style="724" customWidth="1"/>
    <col min="9" max="10" width="9.140625" style="724" hidden="1" customWidth="1"/>
    <col min="11" max="16384" width="9.140625" style="724" customWidth="1"/>
  </cols>
  <sheetData>
    <row r="1" spans="1:4" ht="12.75">
      <c r="A1" s="81"/>
      <c r="B1" s="82" t="s">
        <v>247</v>
      </c>
      <c r="C1" s="81"/>
      <c r="D1" s="81"/>
    </row>
    <row r="2" spans="1:4" ht="12.75">
      <c r="A2" s="81">
        <v>1</v>
      </c>
      <c r="B2" s="83" t="s">
        <v>548</v>
      </c>
      <c r="C2" s="81"/>
      <c r="D2" s="81"/>
    </row>
    <row r="3" spans="1:4" ht="12.75">
      <c r="A3" s="81">
        <v>2</v>
      </c>
      <c r="B3" s="84" t="s">
        <v>549</v>
      </c>
      <c r="C3" s="81"/>
      <c r="D3" s="81"/>
    </row>
    <row r="4" spans="1:4" ht="18">
      <c r="A4" s="81"/>
      <c r="B4" s="85" t="s">
        <v>230</v>
      </c>
      <c r="C4" s="81"/>
      <c r="D4" s="81"/>
    </row>
    <row r="5" spans="1:9" ht="12.75">
      <c r="A5" s="81"/>
      <c r="B5" s="81"/>
      <c r="C5" s="81"/>
      <c r="D5" s="81"/>
      <c r="I5" s="724" t="s">
        <v>409</v>
      </c>
    </row>
    <row r="6" spans="1:9" ht="13.5" thickBot="1">
      <c r="A6" s="81"/>
      <c r="B6" s="81" t="s">
        <v>406</v>
      </c>
      <c r="C6" s="81"/>
      <c r="D6" s="81"/>
      <c r="I6" s="724" t="s">
        <v>370</v>
      </c>
    </row>
    <row r="7" spans="1:9" ht="16.5" thickBot="1">
      <c r="A7" s="81"/>
      <c r="B7" s="726" t="s">
        <v>333</v>
      </c>
      <c r="C7" s="67"/>
      <c r="D7" s="81"/>
      <c r="I7" s="724" t="s">
        <v>371</v>
      </c>
    </row>
    <row r="8" spans="1:9" ht="16.5" thickBot="1">
      <c r="A8" s="81"/>
      <c r="B8" s="726" t="s">
        <v>334</v>
      </c>
      <c r="C8" s="68"/>
      <c r="D8" s="81"/>
      <c r="I8" s="724" t="s">
        <v>372</v>
      </c>
    </row>
    <row r="9" spans="1:5" ht="16.5" thickBot="1">
      <c r="A9" s="81"/>
      <c r="B9" s="726" t="s">
        <v>335</v>
      </c>
      <c r="C9" s="67"/>
      <c r="D9" s="81"/>
      <c r="E9" s="725"/>
    </row>
    <row r="10" spans="1:9" ht="16.5" thickBot="1">
      <c r="A10" s="81"/>
      <c r="B10" s="726" t="s">
        <v>61</v>
      </c>
      <c r="C10" s="69"/>
      <c r="D10" s="81"/>
      <c r="I10" s="724" t="s">
        <v>65</v>
      </c>
    </row>
    <row r="11" spans="1:9" ht="16.5" thickBot="1">
      <c r="A11" s="81"/>
      <c r="B11" s="726" t="s">
        <v>62</v>
      </c>
      <c r="C11" s="69"/>
      <c r="D11" s="81"/>
      <c r="I11" s="724" t="s">
        <v>67</v>
      </c>
    </row>
    <row r="12" spans="1:9" ht="12.75">
      <c r="A12" s="81"/>
      <c r="D12" s="81"/>
      <c r="I12" s="724" t="s">
        <v>68</v>
      </c>
    </row>
    <row r="13" spans="1:9" ht="13.5" thickBot="1">
      <c r="A13" s="81"/>
      <c r="B13" s="81" t="s">
        <v>407</v>
      </c>
      <c r="C13" s="81"/>
      <c r="D13" s="81"/>
      <c r="I13" s="724" t="s">
        <v>66</v>
      </c>
    </row>
    <row r="14" spans="1:7" ht="26.25" thickBot="1">
      <c r="A14" s="81"/>
      <c r="B14" s="728" t="s">
        <v>336</v>
      </c>
      <c r="C14" s="729" t="s">
        <v>63</v>
      </c>
      <c r="D14" s="730" t="s">
        <v>64</v>
      </c>
      <c r="E14" s="732"/>
      <c r="F14" s="730" t="s">
        <v>843</v>
      </c>
      <c r="G14" s="731"/>
    </row>
    <row r="15" spans="1:7" ht="16.5" thickBot="1">
      <c r="A15" s="81"/>
      <c r="B15" s="698" t="s">
        <v>51</v>
      </c>
      <c r="C15" s="70"/>
      <c r="D15" s="71"/>
      <c r="E15" s="91">
        <f>IF(D15="Unconditioned","Only use 'Unconditioned' for spaces that have no active heating or cooling AND are not indirectly conditioned by adjacent conditioned spaces.","")</f>
      </c>
      <c r="F15" s="800" t="e">
        <f>'In-Unit Lighting'!F47</f>
        <v>#DIV/0!</v>
      </c>
      <c r="G15" s="731"/>
    </row>
    <row r="16" spans="1:7" ht="16.5" thickBot="1">
      <c r="A16" s="81"/>
      <c r="B16" s="698" t="s">
        <v>232</v>
      </c>
      <c r="C16" s="87">
        <f>SUMIF('Interior Lighting'!$D$28:$D$1027,B16,'Interior Lighting'!$O$28:$O$1027)</f>
        <v>0</v>
      </c>
      <c r="D16" s="71"/>
      <c r="E16" s="91">
        <f aca="true" t="shared" si="0" ref="E16:E27">IF(D16="Unconditioned","Only use 'Unconditioned' for spaces that have no active heating or cooling AND are not indirectly conditioned by adjacent conditioned spaces.","")</f>
      </c>
      <c r="F16" s="800" t="e">
        <f>SUMIF('Interior Lighting'!$D$28:$D$1027,B16,'Interior Lighting'!$I$28:$I$1027)/C16</f>
        <v>#DIV/0!</v>
      </c>
      <c r="G16" s="731"/>
    </row>
    <row r="17" spans="1:7" ht="16.5" thickBot="1">
      <c r="A17" s="81"/>
      <c r="B17" s="698" t="s">
        <v>233</v>
      </c>
      <c r="C17" s="87">
        <f>SUMIF('Interior Lighting'!$D$28:$D$1027,B17,'Interior Lighting'!$O$28:$O$1027)</f>
        <v>0</v>
      </c>
      <c r="D17" s="71"/>
      <c r="E17" s="91">
        <f t="shared" si="0"/>
      </c>
      <c r="F17" s="800" t="e">
        <f>SUMIF('Interior Lighting'!$D$28:$D$1027,B17,'Interior Lighting'!$I$28:$I$1027)/C17</f>
        <v>#DIV/0!</v>
      </c>
      <c r="G17" s="731"/>
    </row>
    <row r="18" spans="1:7" ht="16.5" thickBot="1">
      <c r="A18" s="81"/>
      <c r="B18" s="698" t="s">
        <v>234</v>
      </c>
      <c r="C18" s="87">
        <f>SUMIF('Interior Lighting'!$D$28:$D$1027,B18,'Interior Lighting'!$O$28:$O$1027)</f>
        <v>0</v>
      </c>
      <c r="D18" s="71"/>
      <c r="E18" s="91">
        <f t="shared" si="0"/>
      </c>
      <c r="F18" s="800" t="e">
        <f>SUMIF('Interior Lighting'!$D$28:$D$1027,B18,'Interior Lighting'!$I$28:$I$1027)/C18</f>
        <v>#DIV/0!</v>
      </c>
      <c r="G18" s="731"/>
    </row>
    <row r="19" spans="1:7" ht="16.5" thickBot="1">
      <c r="A19" s="81"/>
      <c r="B19" s="698" t="s">
        <v>235</v>
      </c>
      <c r="C19" s="87">
        <f>SUMIF('Interior Lighting'!$D$28:$D$1027,B19,'Interior Lighting'!$O$28:$O$1027)</f>
        <v>0</v>
      </c>
      <c r="D19" s="71"/>
      <c r="E19" s="91">
        <f t="shared" si="0"/>
      </c>
      <c r="F19" s="800" t="e">
        <f>SUMIF('Interior Lighting'!$D$28:$D$1027,B19,'Interior Lighting'!$I$28:$I$1027)/C19</f>
        <v>#DIV/0!</v>
      </c>
      <c r="G19" s="731"/>
    </row>
    <row r="20" spans="1:7" ht="16.5" thickBot="1">
      <c r="A20" s="81"/>
      <c r="B20" s="698" t="s">
        <v>236</v>
      </c>
      <c r="C20" s="87">
        <f>SUMIF('Interior Lighting'!$D$28:$D$1027,B20,'Interior Lighting'!$O$28:$O$1027)</f>
        <v>0</v>
      </c>
      <c r="D20" s="71"/>
      <c r="E20" s="91">
        <f t="shared" si="0"/>
      </c>
      <c r="F20" s="800" t="e">
        <f>SUMIF('Interior Lighting'!$D$28:$D$1027,B20,'Interior Lighting'!$I$28:$I$1027)/C20</f>
        <v>#DIV/0!</v>
      </c>
      <c r="G20" s="731"/>
    </row>
    <row r="21" spans="1:7" ht="16.5" thickBot="1">
      <c r="A21" s="81"/>
      <c r="B21" s="698" t="s">
        <v>237</v>
      </c>
      <c r="C21" s="87">
        <f>SUMIF('Interior Lighting'!$D$28:$D$1027,B21,'Interior Lighting'!$O$28:$O$1027)</f>
        <v>0</v>
      </c>
      <c r="D21" s="71"/>
      <c r="E21" s="91">
        <f t="shared" si="0"/>
      </c>
      <c r="F21" s="800" t="e">
        <f>SUMIF('Interior Lighting'!$D$28:$D$1027,B21,'Interior Lighting'!$I$28:$I$1027)/C21</f>
        <v>#DIV/0!</v>
      </c>
      <c r="G21" s="731"/>
    </row>
    <row r="22" spans="1:7" ht="16.5" thickBot="1">
      <c r="A22" s="81"/>
      <c r="B22" s="698" t="s">
        <v>300</v>
      </c>
      <c r="C22" s="87">
        <f>SUMIF('Interior Lighting'!$D$28:$D$1027,B22,'Interior Lighting'!$O$28:$O$1027)</f>
        <v>0</v>
      </c>
      <c r="D22" s="71"/>
      <c r="E22" s="91">
        <f t="shared" si="0"/>
      </c>
      <c r="F22" s="800" t="e">
        <f>SUMIF('Interior Lighting'!$D$28:$D$1027,B22,'Interior Lighting'!$I$28:$I$1027)/C22</f>
        <v>#DIV/0!</v>
      </c>
      <c r="G22" s="731"/>
    </row>
    <row r="23" spans="1:7" ht="16.5" thickBot="1">
      <c r="A23" s="81"/>
      <c r="B23" s="698" t="s">
        <v>337</v>
      </c>
      <c r="C23" s="87">
        <f>SUMIF('Interior Lighting'!$D$28:$D$1027,B23,'Interior Lighting'!$O$28:$O$1027)</f>
        <v>0</v>
      </c>
      <c r="D23" s="71"/>
      <c r="E23" s="91">
        <f t="shared" si="0"/>
      </c>
      <c r="F23" s="800" t="e">
        <f>SUMIF('Interior Lighting'!$D$28:$D$1027,B23,'Interior Lighting'!$I$28:$I$1027)/C23</f>
        <v>#DIV/0!</v>
      </c>
      <c r="G23" s="731"/>
    </row>
    <row r="24" spans="1:7" ht="16.5" thickBot="1">
      <c r="A24" s="81"/>
      <c r="B24" s="698" t="s">
        <v>238</v>
      </c>
      <c r="C24" s="87">
        <f>SUMIF('Interior Lighting'!$D$28:$D$1027,B24,'Interior Lighting'!$O$28:$O$1027)</f>
        <v>0</v>
      </c>
      <c r="D24" s="71"/>
      <c r="E24" s="91">
        <f t="shared" si="0"/>
      </c>
      <c r="F24" s="800" t="e">
        <f>SUMIF('Interior Lighting'!$D$28:$D$1027,B24,'Interior Lighting'!$I$28:$I$1027)/C24</f>
        <v>#DIV/0!</v>
      </c>
      <c r="G24" s="731"/>
    </row>
    <row r="25" spans="1:7" ht="16.5" thickBot="1">
      <c r="A25" s="81"/>
      <c r="B25" s="698" t="s">
        <v>239</v>
      </c>
      <c r="C25" s="87">
        <f>SUMIF('Interior Lighting'!$D$28:$D$1027,B25,'Interior Lighting'!$O$28:$O$1027)</f>
        <v>0</v>
      </c>
      <c r="D25" s="71"/>
      <c r="E25" s="91">
        <f t="shared" si="0"/>
      </c>
      <c r="F25" s="800" t="e">
        <f>SUMIF('Interior Lighting'!$D$28:$D$1027,B25,'Interior Lighting'!$I$28:$I$1027)/C25</f>
        <v>#DIV/0!</v>
      </c>
      <c r="G25" s="731"/>
    </row>
    <row r="26" spans="1:11" ht="16.5" thickBot="1">
      <c r="A26" s="81"/>
      <c r="B26" s="698" t="s">
        <v>240</v>
      </c>
      <c r="C26" s="87">
        <f>SUMIF('Interior Lighting'!$D$28:$D$1027,B26,'Interior Lighting'!$O$28:$O$1027)</f>
        <v>0</v>
      </c>
      <c r="D26" s="71"/>
      <c r="E26" s="91">
        <f t="shared" si="0"/>
      </c>
      <c r="F26" s="800" t="e">
        <f>SUMIF('Interior Lighting'!$D$28:$D$1027,B26,'Interior Lighting'!$I$28:$I$1027)/C26</f>
        <v>#DIV/0!</v>
      </c>
      <c r="G26" s="731"/>
      <c r="K26" s="725"/>
    </row>
    <row r="27" spans="1:7" ht="16.5" thickBot="1">
      <c r="A27" s="88"/>
      <c r="B27" s="727" t="s">
        <v>751</v>
      </c>
      <c r="C27" s="76"/>
      <c r="D27" s="71"/>
      <c r="E27" s="91">
        <f t="shared" si="0"/>
      </c>
      <c r="F27" s="737"/>
      <c r="G27" s="731"/>
    </row>
    <row r="28" spans="1:7" ht="16.5" thickBot="1">
      <c r="A28" s="81"/>
      <c r="B28" s="733"/>
      <c r="C28" s="89">
        <f>SUM(C15:C27)</f>
        <v>0</v>
      </c>
      <c r="D28" s="735"/>
      <c r="E28" s="90">
        <f>IF(C27&gt;0.5*'Simulation Summary'!C14,"Nonresidential spaces (commercial, retail) cannot exceed 50% of the total conditioned floor area and participate in the MFHR Program.","")</f>
      </c>
      <c r="F28" s="738"/>
      <c r="G28" s="731"/>
    </row>
    <row r="29" spans="1:5" ht="13.5" thickBot="1">
      <c r="A29" s="81"/>
      <c r="B29" s="734"/>
      <c r="C29" s="725"/>
      <c r="D29" s="725"/>
      <c r="E29" s="731"/>
    </row>
    <row r="30" spans="1:6" ht="13.5" thickBot="1">
      <c r="A30" s="81"/>
      <c r="B30" s="726" t="s">
        <v>408</v>
      </c>
      <c r="C30" s="72"/>
      <c r="D30" s="81"/>
      <c r="F30" s="725"/>
    </row>
  </sheetData>
  <sheetProtection sheet="1" objects="1" scenarios="1" formatColumns="0" formatRows="0" insertColumns="0" insertRows="0" deleteColumns="0" deleteRows="0"/>
  <dataValidations count="6">
    <dataValidation type="list" allowBlank="1" showInputMessage="1" showErrorMessage="1" sqref="C30">
      <formula1>$I$5:$I$8</formula1>
    </dataValidation>
    <dataValidation allowBlank="1" showInputMessage="1" showErrorMessage="1" promptTitle="Number of 3+ - Bedrooms" prompt="Enter the number of 3+ - bedroom units per building - NOT the entire project - if more than one identical building." sqref="C10:C11"/>
    <dataValidation allowBlank="1" showInputMessage="1" showErrorMessage="1" promptTitle="Number of 2 - Bedrooms" prompt="Enter the number of two-bedroom units per building - NOT the entire project - if more than one identical building." sqref="C9"/>
    <dataValidation allowBlank="1" showInputMessage="1" showErrorMessage="1" promptTitle="Number of 1 - Bedrooms" prompt="Enter the number of one-bedroom units per building - NOT the entire project - if more than one identical building." sqref="C8"/>
    <dataValidation allowBlank="1" showInputMessage="1" showErrorMessage="1" promptTitle="Number of Studios" prompt="Enter the number of studios for each building - NOT the entire project - if more than one identical building." sqref="C7"/>
    <dataValidation type="list" allowBlank="1" showInputMessage="1" showErrorMessage="1" sqref="D15:D27">
      <formula1>$I$10:$I$13</formula1>
    </dataValidation>
  </dataValidations>
  <printOptions gridLines="1"/>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2:AM132"/>
  <sheetViews>
    <sheetView showGridLines="0" zoomScale="85" zoomScaleNormal="85" zoomScalePageLayoutView="0" workbookViewId="0" topLeftCell="A1">
      <selection activeCell="E90" sqref="E90:F90"/>
    </sheetView>
  </sheetViews>
  <sheetFormatPr defaultColWidth="9.140625" defaultRowHeight="12.75"/>
  <cols>
    <col min="1" max="1" width="0.9921875" style="81" customWidth="1"/>
    <col min="2" max="2" width="16.421875" style="81" customWidth="1"/>
    <col min="3" max="3" width="15.28125" style="81" customWidth="1"/>
    <col min="4" max="4" width="15.7109375" style="81" customWidth="1"/>
    <col min="5" max="5" width="16.421875" style="81" customWidth="1"/>
    <col min="6" max="6" width="9.421875" style="81" customWidth="1"/>
    <col min="7" max="7" width="15.7109375" style="81" customWidth="1"/>
    <col min="8" max="8" width="15.140625" style="81" customWidth="1"/>
    <col min="9" max="10" width="9.421875" style="81" customWidth="1"/>
    <col min="11" max="11" width="13.00390625" style="81" customWidth="1"/>
    <col min="12" max="12" width="0.9921875" style="81" customWidth="1"/>
    <col min="13" max="35" width="9.140625" style="81" customWidth="1"/>
    <col min="36" max="39" width="0" style="81" hidden="1" customWidth="1"/>
    <col min="40" max="16384" width="9.140625" style="81" customWidth="1"/>
  </cols>
  <sheetData>
    <row r="1" ht="13.5" thickBot="1"/>
    <row r="2" spans="2:12" ht="13.5" customHeight="1" thickTop="1">
      <c r="B2" s="861" t="s">
        <v>841</v>
      </c>
      <c r="C2" s="862"/>
      <c r="D2" s="862"/>
      <c r="E2" s="862"/>
      <c r="F2" s="862"/>
      <c r="G2" s="862"/>
      <c r="H2" s="862"/>
      <c r="I2" s="862"/>
      <c r="J2" s="862"/>
      <c r="K2" s="862"/>
      <c r="L2" s="863"/>
    </row>
    <row r="3" spans="2:12" ht="33" customHeight="1">
      <c r="B3" s="864"/>
      <c r="C3" s="865"/>
      <c r="D3" s="865"/>
      <c r="E3" s="865"/>
      <c r="F3" s="865"/>
      <c r="G3" s="865"/>
      <c r="H3" s="865"/>
      <c r="I3" s="865"/>
      <c r="J3" s="865"/>
      <c r="K3" s="865"/>
      <c r="L3" s="866"/>
    </row>
    <row r="4" spans="2:12" ht="12.75" customHeight="1" thickBot="1">
      <c r="B4" s="92"/>
      <c r="C4" s="93"/>
      <c r="D4" s="93"/>
      <c r="E4" s="94"/>
      <c r="F4" s="94"/>
      <c r="G4" s="93"/>
      <c r="H4" s="93"/>
      <c r="I4" s="93"/>
      <c r="J4" s="93"/>
      <c r="K4" s="93"/>
      <c r="L4" s="95"/>
    </row>
    <row r="5" spans="2:12" ht="15.75" thickBot="1">
      <c r="B5" s="96"/>
      <c r="C5" s="97"/>
      <c r="D5" s="97"/>
      <c r="E5" s="97"/>
      <c r="F5" s="97"/>
      <c r="G5" s="97"/>
      <c r="H5" s="97"/>
      <c r="I5" s="97"/>
      <c r="J5" s="97"/>
      <c r="K5" s="97"/>
      <c r="L5" s="98"/>
    </row>
    <row r="6" spans="1:2" ht="18.75" customHeight="1" thickBot="1">
      <c r="A6" s="99"/>
      <c r="B6" s="100" t="s">
        <v>455</v>
      </c>
    </row>
    <row r="7" spans="2:12" ht="13.5" thickBot="1">
      <c r="B7" s="1001" t="s">
        <v>456</v>
      </c>
      <c r="C7" s="1002"/>
      <c r="D7" s="915"/>
      <c r="E7" s="915"/>
      <c r="F7" s="916"/>
      <c r="G7" s="909" t="s">
        <v>457</v>
      </c>
      <c r="H7" s="909"/>
      <c r="I7" s="867"/>
      <c r="J7" s="868"/>
      <c r="K7" s="868"/>
      <c r="L7" s="869"/>
    </row>
    <row r="8" spans="2:12" ht="13.5" thickBot="1">
      <c r="B8" s="1003" t="s">
        <v>787</v>
      </c>
      <c r="C8" s="1004"/>
      <c r="D8" s="880"/>
      <c r="E8" s="881"/>
      <c r="F8" s="882"/>
      <c r="G8" s="910" t="s">
        <v>459</v>
      </c>
      <c r="H8" s="910"/>
      <c r="I8" s="870"/>
      <c r="J8" s="871"/>
      <c r="K8" s="871"/>
      <c r="L8" s="872"/>
    </row>
    <row r="9" spans="2:12" ht="13.5" thickBot="1">
      <c r="B9" s="1005" t="s">
        <v>460</v>
      </c>
      <c r="C9" s="1006"/>
      <c r="D9" s="911"/>
      <c r="E9" s="911"/>
      <c r="F9" s="912"/>
      <c r="G9" s="913" t="s">
        <v>461</v>
      </c>
      <c r="H9" s="914"/>
      <c r="I9" s="873"/>
      <c r="J9" s="874"/>
      <c r="K9" s="874"/>
      <c r="L9" s="875"/>
    </row>
    <row r="10" spans="2:12" ht="13.5" thickBot="1">
      <c r="B10" s="903" t="s">
        <v>462</v>
      </c>
      <c r="C10" s="904"/>
      <c r="D10" s="885"/>
      <c r="E10" s="881"/>
      <c r="F10" s="882"/>
      <c r="G10" s="910" t="s">
        <v>463</v>
      </c>
      <c r="H10" s="971"/>
      <c r="I10" s="876"/>
      <c r="J10" s="871"/>
      <c r="K10" s="871"/>
      <c r="L10" s="872"/>
    </row>
    <row r="11" spans="1:12" ht="13.5" thickBot="1">
      <c r="A11" s="99"/>
      <c r="B11" s="883" t="s">
        <v>464</v>
      </c>
      <c r="C11" s="902"/>
      <c r="D11" s="881"/>
      <c r="E11" s="881"/>
      <c r="F11" s="882"/>
      <c r="G11" s="883"/>
      <c r="H11" s="884"/>
      <c r="I11" s="877"/>
      <c r="J11" s="878"/>
      <c r="K11" s="878"/>
      <c r="L11" s="879"/>
    </row>
    <row r="12" spans="1:12" ht="13.5" thickBot="1">
      <c r="A12" s="99"/>
      <c r="B12" s="101"/>
      <c r="C12" s="102"/>
      <c r="D12" s="103"/>
      <c r="E12" s="103"/>
      <c r="F12" s="102"/>
      <c r="G12" s="102"/>
      <c r="H12" s="103"/>
      <c r="I12" s="103"/>
      <c r="J12" s="103"/>
      <c r="K12" s="103"/>
      <c r="L12" s="104"/>
    </row>
    <row r="13" spans="1:12" ht="16.5" thickBot="1">
      <c r="A13" s="99"/>
      <c r="B13" s="100" t="s">
        <v>465</v>
      </c>
      <c r="C13" s="105"/>
      <c r="F13" s="105"/>
      <c r="G13" s="105"/>
      <c r="L13" s="99"/>
    </row>
    <row r="14" spans="2:12" ht="13.5" thickBot="1">
      <c r="B14" s="953" t="s">
        <v>466</v>
      </c>
      <c r="C14" s="954"/>
      <c r="D14" s="915"/>
      <c r="E14" s="915"/>
      <c r="F14" s="916"/>
      <c r="G14" s="958" t="s">
        <v>467</v>
      </c>
      <c r="H14" s="954"/>
      <c r="I14" s="885"/>
      <c r="J14" s="881"/>
      <c r="K14" s="881"/>
      <c r="L14" s="882"/>
    </row>
    <row r="15" spans="2:12" ht="13.5" thickBot="1">
      <c r="B15" s="903" t="s">
        <v>468</v>
      </c>
      <c r="C15" s="904"/>
      <c r="D15" s="881"/>
      <c r="E15" s="881"/>
      <c r="F15" s="882"/>
      <c r="G15" s="910" t="s">
        <v>469</v>
      </c>
      <c r="H15" s="904"/>
      <c r="I15" s="885"/>
      <c r="J15" s="881"/>
      <c r="K15" s="881"/>
      <c r="L15" s="882"/>
    </row>
    <row r="16" spans="2:12" ht="13.5" thickBot="1">
      <c r="B16" s="903" t="s">
        <v>461</v>
      </c>
      <c r="C16" s="904"/>
      <c r="D16" s="881"/>
      <c r="E16" s="881"/>
      <c r="F16" s="882"/>
      <c r="G16" s="910" t="s">
        <v>470</v>
      </c>
      <c r="H16" s="904"/>
      <c r="I16" s="885"/>
      <c r="J16" s="881"/>
      <c r="K16" s="881"/>
      <c r="L16" s="882"/>
    </row>
    <row r="17" spans="2:12" ht="13.5" thickBot="1">
      <c r="B17" s="901" t="s">
        <v>463</v>
      </c>
      <c r="C17" s="902"/>
      <c r="D17" s="929"/>
      <c r="E17" s="911"/>
      <c r="F17" s="912"/>
      <c r="G17" s="884"/>
      <c r="H17" s="902"/>
      <c r="I17" s="930"/>
      <c r="J17" s="931"/>
      <c r="K17" s="931"/>
      <c r="L17" s="932"/>
    </row>
    <row r="18" spans="1:12" ht="13.5" thickBot="1">
      <c r="A18" s="99"/>
      <c r="B18" s="106"/>
      <c r="C18" s="107"/>
      <c r="D18" s="177"/>
      <c r="E18" s="177"/>
      <c r="F18" s="177"/>
      <c r="G18" s="107"/>
      <c r="H18" s="107"/>
      <c r="I18" s="108"/>
      <c r="J18" s="108"/>
      <c r="K18" s="108"/>
      <c r="L18" s="109"/>
    </row>
    <row r="19" spans="1:12" ht="16.5" thickBot="1">
      <c r="A19" s="99"/>
      <c r="B19" s="100" t="s">
        <v>471</v>
      </c>
      <c r="E19" s="105"/>
      <c r="F19" s="105"/>
      <c r="H19" s="86"/>
      <c r="I19" s="86"/>
      <c r="J19" s="86"/>
      <c r="K19" s="86"/>
      <c r="L19" s="99"/>
    </row>
    <row r="20" spans="1:12" ht="15" customHeight="1" thickBot="1">
      <c r="A20" s="99"/>
      <c r="B20" s="907" t="s">
        <v>472</v>
      </c>
      <c r="C20" s="908"/>
      <c r="D20" s="959"/>
      <c r="E20" s="960"/>
      <c r="F20" s="961"/>
      <c r="G20" s="110" t="s">
        <v>47</v>
      </c>
      <c r="H20" s="111"/>
      <c r="I20" s="823">
        <f>'Basic Info'!C28</f>
        <v>0</v>
      </c>
      <c r="J20" s="824"/>
      <c r="K20" s="824"/>
      <c r="L20" s="825"/>
    </row>
    <row r="21" spans="1:12" ht="12.75" customHeight="1" thickBot="1">
      <c r="A21" s="99"/>
      <c r="B21" s="907" t="s">
        <v>473</v>
      </c>
      <c r="C21" s="908"/>
      <c r="D21" s="959"/>
      <c r="E21" s="960"/>
      <c r="F21" s="961"/>
      <c r="G21" s="821" t="s">
        <v>231</v>
      </c>
      <c r="H21" s="822"/>
      <c r="I21" s="826">
        <f>'Basic Info'!C15</f>
        <v>0</v>
      </c>
      <c r="J21" s="827"/>
      <c r="K21" s="827"/>
      <c r="L21" s="828"/>
    </row>
    <row r="22" spans="1:12" ht="12.75" customHeight="1" thickBot="1">
      <c r="A22" s="99"/>
      <c r="B22" s="907" t="s">
        <v>475</v>
      </c>
      <c r="C22" s="908"/>
      <c r="D22" s="959"/>
      <c r="E22" s="960"/>
      <c r="F22" s="961"/>
      <c r="G22" s="821" t="s">
        <v>474</v>
      </c>
      <c r="H22" s="822"/>
      <c r="I22" s="823">
        <f>'Basic Info'!C18+'Basic Info'!C19+'Basic Info'!C20+'Basic Info'!C21+'Basic Info'!C22+'Basic Info'!C23</f>
        <v>0</v>
      </c>
      <c r="J22" s="824"/>
      <c r="K22" s="824"/>
      <c r="L22" s="825"/>
    </row>
    <row r="23" spans="1:12" ht="12.75" customHeight="1" thickBot="1">
      <c r="A23" s="99"/>
      <c r="B23" s="112" t="s">
        <v>477</v>
      </c>
      <c r="C23" s="113"/>
      <c r="D23" s="959"/>
      <c r="E23" s="960"/>
      <c r="F23" s="961"/>
      <c r="G23" s="821" t="s">
        <v>476</v>
      </c>
      <c r="H23" s="822"/>
      <c r="I23" s="823">
        <f>'Basic Info'!C27</f>
        <v>0</v>
      </c>
      <c r="J23" s="824"/>
      <c r="K23" s="824"/>
      <c r="L23" s="825"/>
    </row>
    <row r="24" spans="1:12" ht="15" customHeight="1" thickBot="1">
      <c r="A24" s="99"/>
      <c r="B24" s="114" t="s">
        <v>478</v>
      </c>
      <c r="C24" s="115"/>
      <c r="D24" s="959"/>
      <c r="E24" s="960"/>
      <c r="F24" s="961"/>
      <c r="G24" s="821" t="s">
        <v>339</v>
      </c>
      <c r="H24" s="822"/>
      <c r="I24" s="823">
        <f>'Basic Info'!C16+'Basic Info'!C17+'Basic Info'!C24+'Basic Info'!C25+'Basic Info'!C26</f>
        <v>0</v>
      </c>
      <c r="J24" s="824"/>
      <c r="K24" s="824"/>
      <c r="L24" s="825"/>
    </row>
    <row r="25" spans="1:12" ht="16.5" customHeight="1" thickBot="1">
      <c r="A25" s="99"/>
      <c r="B25" s="907" t="s">
        <v>479</v>
      </c>
      <c r="C25" s="908"/>
      <c r="D25" s="959"/>
      <c r="E25" s="960"/>
      <c r="F25" s="961"/>
      <c r="G25" s="110" t="s">
        <v>48</v>
      </c>
      <c r="H25" s="111"/>
      <c r="I25" s="826">
        <f>SUM(I26:L28)</f>
        <v>0</v>
      </c>
      <c r="J25" s="827"/>
      <c r="K25" s="827"/>
      <c r="L25" s="828"/>
    </row>
    <row r="26" spans="1:12" ht="12.75" customHeight="1" thickBot="1">
      <c r="A26" s="99"/>
      <c r="B26" s="907"/>
      <c r="C26" s="908"/>
      <c r="D26" s="962"/>
      <c r="E26" s="963"/>
      <c r="F26" s="964"/>
      <c r="G26" s="821" t="s">
        <v>480</v>
      </c>
      <c r="H26" s="822"/>
      <c r="I26" s="823">
        <f>SUMIF('Basic Info'!D15:D27,"Heated &amp; Cooled",'Basic Info'!C15:C27)</f>
        <v>0</v>
      </c>
      <c r="J26" s="824"/>
      <c r="K26" s="824"/>
      <c r="L26" s="825"/>
    </row>
    <row r="27" spans="1:12" ht="12.75" customHeight="1" thickBot="1">
      <c r="A27" s="99"/>
      <c r="B27" s="114"/>
      <c r="C27" s="115"/>
      <c r="D27" s="965"/>
      <c r="E27" s="965"/>
      <c r="F27" s="966"/>
      <c r="G27" s="821" t="s">
        <v>481</v>
      </c>
      <c r="H27" s="822"/>
      <c r="I27" s="823">
        <f>SUMIF('Basic Info'!D15:D27,"Heated-Only",'Basic Info'!C15:C27)</f>
        <v>0</v>
      </c>
      <c r="J27" s="824"/>
      <c r="K27" s="824"/>
      <c r="L27" s="825"/>
    </row>
    <row r="28" spans="1:12" ht="12.75" customHeight="1" thickBot="1">
      <c r="A28" s="99"/>
      <c r="B28" s="918"/>
      <c r="C28" s="943"/>
      <c r="D28" s="967"/>
      <c r="E28" s="967"/>
      <c r="F28" s="968"/>
      <c r="G28" s="821" t="s">
        <v>482</v>
      </c>
      <c r="H28" s="822"/>
      <c r="I28" s="823">
        <f>SUMIF('Basic Info'!D15:D27,"Cooled-Only",'Basic Info'!C15:C27)</f>
        <v>0</v>
      </c>
      <c r="J28" s="824"/>
      <c r="K28" s="824"/>
      <c r="L28" s="825"/>
    </row>
    <row r="29" spans="1:12" ht="8.25" customHeight="1" thickBot="1">
      <c r="A29" s="99"/>
      <c r="B29" s="116"/>
      <c r="C29" s="116"/>
      <c r="D29" s="116"/>
      <c r="E29" s="116"/>
      <c r="F29" s="116"/>
      <c r="G29" s="116"/>
      <c r="H29" s="116"/>
      <c r="I29" s="93"/>
      <c r="J29" s="93"/>
      <c r="K29" s="93"/>
      <c r="L29" s="117"/>
    </row>
    <row r="30" spans="1:12" ht="13.5" thickBot="1">
      <c r="A30" s="99"/>
      <c r="B30" s="905" t="s">
        <v>483</v>
      </c>
      <c r="C30" s="906"/>
      <c r="D30" s="118" t="s">
        <v>333</v>
      </c>
      <c r="E30" s="118" t="s">
        <v>484</v>
      </c>
      <c r="F30" s="118" t="s">
        <v>485</v>
      </c>
      <c r="G30" s="118" t="s">
        <v>486</v>
      </c>
      <c r="H30" s="118" t="s">
        <v>487</v>
      </c>
      <c r="I30" s="844" t="s">
        <v>332</v>
      </c>
      <c r="J30" s="844"/>
      <c r="K30" s="844"/>
      <c r="L30" s="845"/>
    </row>
    <row r="31" spans="2:12" ht="13.5" thickBot="1">
      <c r="B31" s="957" t="s">
        <v>99</v>
      </c>
      <c r="C31" s="908"/>
      <c r="D31" s="119">
        <f>'Basic Info'!C7</f>
        <v>0</v>
      </c>
      <c r="E31" s="119">
        <f>'Basic Info'!C8</f>
        <v>0</v>
      </c>
      <c r="F31" s="119">
        <f>'Basic Info'!C9</f>
        <v>0</v>
      </c>
      <c r="G31" s="119">
        <f>'Basic Info'!C10</f>
        <v>0</v>
      </c>
      <c r="H31" s="119">
        <f>'Basic Info'!C11</f>
        <v>0</v>
      </c>
      <c r="I31" s="846">
        <f>SUM(D31:H31)</f>
        <v>0</v>
      </c>
      <c r="J31" s="846"/>
      <c r="K31" s="846"/>
      <c r="L31" s="847"/>
    </row>
    <row r="32" spans="1:12" ht="15" customHeight="1" thickBot="1">
      <c r="A32" s="99"/>
      <c r="B32" s="918" t="s">
        <v>49</v>
      </c>
      <c r="C32" s="943"/>
      <c r="D32" s="178" t="str">
        <f>IF(D31&gt;0,'Infiltration&amp;Ventilation'!C53,"NA")</f>
        <v>NA</v>
      </c>
      <c r="E32" s="178" t="str">
        <f>IF(E31&gt;0,'Infiltration&amp;Ventilation'!D53,"NA")</f>
        <v>NA</v>
      </c>
      <c r="F32" s="178" t="str">
        <f>IF(F31&gt;0,'Infiltration&amp;Ventilation'!E53,"NA")</f>
        <v>NA</v>
      </c>
      <c r="G32" s="178" t="str">
        <f>IF(G31&gt;0,'Infiltration&amp;Ventilation'!F53,"NA")</f>
        <v>NA</v>
      </c>
      <c r="H32" s="178" t="str">
        <f>IF(H31&gt;0,'Infiltration&amp;Ventilation'!G53,"NA")</f>
        <v>NA</v>
      </c>
      <c r="I32" s="969" t="e">
        <f>AVERAGE(D32:H32)</f>
        <v>#DIV/0!</v>
      </c>
      <c r="J32" s="969"/>
      <c r="K32" s="969"/>
      <c r="L32" s="970"/>
    </row>
    <row r="33" spans="1:12" ht="9.75" customHeight="1">
      <c r="A33" s="99"/>
      <c r="B33" s="116"/>
      <c r="C33" s="116"/>
      <c r="D33" s="116"/>
      <c r="E33" s="116"/>
      <c r="F33" s="116"/>
      <c r="G33" s="116"/>
      <c r="H33" s="116"/>
      <c r="I33" s="116"/>
      <c r="J33" s="116"/>
      <c r="K33" s="116"/>
      <c r="L33" s="117"/>
    </row>
    <row r="34" spans="1:12" ht="16.5" thickBot="1">
      <c r="A34" s="99"/>
      <c r="B34" s="973" t="s">
        <v>52</v>
      </c>
      <c r="C34" s="973"/>
      <c r="D34" s="973"/>
      <c r="E34" s="973"/>
      <c r="F34" s="974"/>
      <c r="L34" s="99"/>
    </row>
    <row r="35" spans="1:12" ht="15" customHeight="1" thickBot="1">
      <c r="A35" s="99"/>
      <c r="B35" s="955" t="s">
        <v>53</v>
      </c>
      <c r="C35" s="955"/>
      <c r="D35" s="956"/>
      <c r="E35" s="120">
        <f>I20</f>
        <v>0</v>
      </c>
      <c r="F35" s="121" t="s">
        <v>329</v>
      </c>
      <c r="G35" s="122"/>
      <c r="H35" s="122"/>
      <c r="I35" s="122"/>
      <c r="J35" s="122"/>
      <c r="K35" s="122"/>
      <c r="L35" s="123"/>
    </row>
    <row r="36" spans="1:12" ht="15" customHeight="1">
      <c r="A36" s="99"/>
      <c r="B36" s="941" t="s">
        <v>54</v>
      </c>
      <c r="C36" s="941"/>
      <c r="D36" s="942"/>
      <c r="E36" s="124">
        <f>'DHW Demand'!G16</f>
        <v>0</v>
      </c>
      <c r="F36" s="183"/>
      <c r="G36" s="184"/>
      <c r="H36" s="184"/>
      <c r="I36" s="184"/>
      <c r="J36" s="185"/>
      <c r="K36" s="185"/>
      <c r="L36" s="186"/>
    </row>
    <row r="37" spans="2:12" ht="15" customHeight="1">
      <c r="B37" s="940" t="s">
        <v>55</v>
      </c>
      <c r="C37" s="941"/>
      <c r="D37" s="942"/>
      <c r="E37" s="124">
        <f>D20</f>
        <v>0</v>
      </c>
      <c r="F37" s="183"/>
      <c r="G37" s="184"/>
      <c r="H37" s="184"/>
      <c r="I37" s="184"/>
      <c r="J37" s="185"/>
      <c r="K37" s="185"/>
      <c r="L37" s="186"/>
    </row>
    <row r="38" spans="2:12" ht="15">
      <c r="B38" s="940" t="s">
        <v>56</v>
      </c>
      <c r="C38" s="941"/>
      <c r="D38" s="942"/>
      <c r="E38" s="124">
        <f>IF('DHW Demand'!$G$25="Common",0,Appliances!$I$18)</f>
        <v>0</v>
      </c>
      <c r="F38" s="183"/>
      <c r="G38" s="184"/>
      <c r="H38" s="184"/>
      <c r="I38" s="184"/>
      <c r="J38" s="185"/>
      <c r="K38" s="185"/>
      <c r="L38" s="186"/>
    </row>
    <row r="39" spans="2:12" ht="15">
      <c r="B39" s="940" t="s">
        <v>57</v>
      </c>
      <c r="C39" s="941"/>
      <c r="D39" s="942"/>
      <c r="E39" s="124">
        <f>IF('DHW Demand'!$G$25="Common",Appliances!$I$18,0)</f>
        <v>0</v>
      </c>
      <c r="F39" s="183"/>
      <c r="G39" s="184"/>
      <c r="H39" s="184"/>
      <c r="I39" s="184"/>
      <c r="J39" s="185"/>
      <c r="K39" s="185"/>
      <c r="L39" s="186"/>
    </row>
    <row r="40" spans="2:12" ht="15" customHeight="1">
      <c r="B40" s="940" t="s">
        <v>58</v>
      </c>
      <c r="C40" s="941"/>
      <c r="D40" s="942"/>
      <c r="E40" s="124">
        <f>Appliances!I13</f>
        <v>0</v>
      </c>
      <c r="F40" s="183"/>
      <c r="G40" s="184"/>
      <c r="H40" s="184"/>
      <c r="I40" s="184"/>
      <c r="J40" s="185"/>
      <c r="K40" s="185"/>
      <c r="L40" s="186"/>
    </row>
    <row r="41" spans="2:12" ht="15.75" customHeight="1">
      <c r="B41" s="940" t="s">
        <v>59</v>
      </c>
      <c r="C41" s="941"/>
      <c r="D41" s="942"/>
      <c r="E41" s="125" t="e">
        <f>(I26+I27)/E35</f>
        <v>#DIV/0!</v>
      </c>
      <c r="F41" s="183"/>
      <c r="G41" s="184"/>
      <c r="H41" s="184"/>
      <c r="I41" s="184"/>
      <c r="J41" s="185"/>
      <c r="K41" s="185"/>
      <c r="L41" s="186"/>
    </row>
    <row r="42" spans="1:12" ht="15.75" customHeight="1" thickBot="1">
      <c r="A42" s="99"/>
      <c r="B42" s="976" t="s">
        <v>60</v>
      </c>
      <c r="C42" s="976"/>
      <c r="D42" s="977"/>
      <c r="E42" s="126" t="e">
        <f>(I26+I28)/E35</f>
        <v>#DIV/0!</v>
      </c>
      <c r="F42" s="187"/>
      <c r="G42" s="188"/>
      <c r="H42" s="188"/>
      <c r="I42" s="188"/>
      <c r="J42" s="188"/>
      <c r="K42" s="188"/>
      <c r="L42" s="189"/>
    </row>
    <row r="43" spans="1:12" ht="10.5" customHeight="1" thickBot="1">
      <c r="A43" s="99"/>
      <c r="B43" s="127"/>
      <c r="C43" s="103"/>
      <c r="D43" s="103"/>
      <c r="E43" s="103"/>
      <c r="F43" s="103"/>
      <c r="G43" s="103"/>
      <c r="H43" s="103"/>
      <c r="I43" s="103"/>
      <c r="J43" s="103"/>
      <c r="K43" s="103"/>
      <c r="L43" s="104"/>
    </row>
    <row r="44" spans="1:12" ht="19.5" customHeight="1" thickBot="1">
      <c r="A44" s="99"/>
      <c r="B44" s="128" t="s">
        <v>69</v>
      </c>
      <c r="C44" s="129"/>
      <c r="D44" s="129"/>
      <c r="E44" s="129"/>
      <c r="F44" s="129"/>
      <c r="G44" s="129"/>
      <c r="H44" s="129"/>
      <c r="I44" s="129"/>
      <c r="J44" s="129"/>
      <c r="K44" s="129"/>
      <c r="L44" s="130"/>
    </row>
    <row r="45" spans="1:12" ht="38.25" customHeight="1">
      <c r="A45" s="99"/>
      <c r="B45" s="975" t="s">
        <v>488</v>
      </c>
      <c r="C45" s="838"/>
      <c r="D45" s="131" t="s">
        <v>489</v>
      </c>
      <c r="E45" s="837" t="s">
        <v>490</v>
      </c>
      <c r="F45" s="838"/>
      <c r="G45" s="917"/>
      <c r="H45" s="837" t="s">
        <v>491</v>
      </c>
      <c r="I45" s="838"/>
      <c r="J45" s="838"/>
      <c r="K45" s="838"/>
      <c r="L45" s="839"/>
    </row>
    <row r="46" spans="2:39" ht="12.75" customHeight="1">
      <c r="B46" s="829" t="s">
        <v>492</v>
      </c>
      <c r="C46" s="830"/>
      <c r="D46" s="830"/>
      <c r="E46" s="830"/>
      <c r="F46" s="830"/>
      <c r="G46" s="830"/>
      <c r="H46" s="830"/>
      <c r="I46" s="830"/>
      <c r="J46" s="830"/>
      <c r="K46" s="830"/>
      <c r="L46" s="831"/>
      <c r="AA46" s="83"/>
      <c r="AJ46" s="83" t="s">
        <v>653</v>
      </c>
      <c r="AL46" s="83" t="s">
        <v>660</v>
      </c>
      <c r="AM46" s="83" t="s">
        <v>657</v>
      </c>
    </row>
    <row r="47" spans="2:39" ht="12.75">
      <c r="B47" s="899" t="s">
        <v>493</v>
      </c>
      <c r="C47" s="944"/>
      <c r="D47" s="132" t="s">
        <v>663</v>
      </c>
      <c r="E47" s="892"/>
      <c r="F47" s="933"/>
      <c r="G47" s="893"/>
      <c r="H47" s="832"/>
      <c r="I47" s="833"/>
      <c r="J47" s="833"/>
      <c r="K47" s="833"/>
      <c r="L47" s="834"/>
      <c r="AJ47" s="83" t="s">
        <v>655</v>
      </c>
      <c r="AL47" s="83" t="s">
        <v>656</v>
      </c>
      <c r="AM47" s="83" t="s">
        <v>275</v>
      </c>
    </row>
    <row r="48" spans="2:39" ht="12.75">
      <c r="B48" s="899" t="s">
        <v>494</v>
      </c>
      <c r="C48" s="944"/>
      <c r="D48" s="132" t="s">
        <v>663</v>
      </c>
      <c r="E48" s="892"/>
      <c r="F48" s="933"/>
      <c r="G48" s="893"/>
      <c r="H48" s="832"/>
      <c r="I48" s="833"/>
      <c r="J48" s="833"/>
      <c r="K48" s="833"/>
      <c r="L48" s="834"/>
      <c r="AJ48" s="83" t="s">
        <v>654</v>
      </c>
      <c r="AL48" s="83" t="s">
        <v>661</v>
      </c>
      <c r="AM48" s="83" t="s">
        <v>659</v>
      </c>
    </row>
    <row r="49" spans="2:38" ht="12.75">
      <c r="B49" s="899" t="s">
        <v>495</v>
      </c>
      <c r="C49" s="944"/>
      <c r="D49" s="132" t="s">
        <v>662</v>
      </c>
      <c r="E49" s="892"/>
      <c r="F49" s="933"/>
      <c r="G49" s="893"/>
      <c r="H49" s="832"/>
      <c r="I49" s="833"/>
      <c r="J49" s="833"/>
      <c r="K49" s="833"/>
      <c r="L49" s="834"/>
      <c r="AL49" s="83" t="s">
        <v>659</v>
      </c>
    </row>
    <row r="50" spans="2:12" ht="12.75">
      <c r="B50" s="978" t="s">
        <v>598</v>
      </c>
      <c r="C50" s="944"/>
      <c r="D50" s="132" t="s">
        <v>847</v>
      </c>
      <c r="E50" s="939"/>
      <c r="F50" s="933"/>
      <c r="G50" s="893"/>
      <c r="H50" s="972"/>
      <c r="I50" s="833"/>
      <c r="J50" s="833"/>
      <c r="K50" s="833"/>
      <c r="L50" s="834"/>
    </row>
    <row r="51" spans="2:12" ht="12.75">
      <c r="B51" s="899" t="s">
        <v>496</v>
      </c>
      <c r="C51" s="944"/>
      <c r="D51" s="132" t="s">
        <v>497</v>
      </c>
      <c r="E51" s="850"/>
      <c r="F51" s="851"/>
      <c r="G51" s="852"/>
      <c r="H51" s="948"/>
      <c r="I51" s="949"/>
      <c r="J51" s="949"/>
      <c r="K51" s="949"/>
      <c r="L51" s="950"/>
    </row>
    <row r="52" spans="2:12" ht="12.75">
      <c r="B52" s="899" t="s">
        <v>498</v>
      </c>
      <c r="C52" s="944"/>
      <c r="D52" s="132" t="s">
        <v>499</v>
      </c>
      <c r="E52" s="850"/>
      <c r="F52" s="851"/>
      <c r="G52" s="852"/>
      <c r="H52" s="948"/>
      <c r="I52" s="949"/>
      <c r="J52" s="949"/>
      <c r="K52" s="949"/>
      <c r="L52" s="950"/>
    </row>
    <row r="53" spans="2:12" ht="12.75">
      <c r="B53" s="899" t="s">
        <v>500</v>
      </c>
      <c r="C53" s="944"/>
      <c r="D53" s="132" t="s">
        <v>499</v>
      </c>
      <c r="E53" s="850"/>
      <c r="F53" s="851"/>
      <c r="G53" s="852"/>
      <c r="H53" s="948"/>
      <c r="I53" s="949"/>
      <c r="J53" s="949"/>
      <c r="K53" s="949"/>
      <c r="L53" s="950"/>
    </row>
    <row r="54" spans="1:12" ht="12.75">
      <c r="A54" s="99"/>
      <c r="B54" s="944" t="s">
        <v>501</v>
      </c>
      <c r="C54" s="944"/>
      <c r="D54" s="132"/>
      <c r="E54" s="892"/>
      <c r="F54" s="933"/>
      <c r="G54" s="893"/>
      <c r="H54" s="832"/>
      <c r="I54" s="833"/>
      <c r="J54" s="833"/>
      <c r="K54" s="833"/>
      <c r="L54" s="834"/>
    </row>
    <row r="55" spans="1:12" ht="12.75" customHeight="1">
      <c r="A55" s="99"/>
      <c r="B55" s="1014" t="s">
        <v>502</v>
      </c>
      <c r="C55" s="1015"/>
      <c r="D55" s="1015"/>
      <c r="E55" s="1015"/>
      <c r="F55" s="1015"/>
      <c r="G55" s="1015"/>
      <c r="H55" s="1015"/>
      <c r="I55" s="1015"/>
      <c r="J55" s="1015"/>
      <c r="K55" s="1015"/>
      <c r="L55" s="1016"/>
    </row>
    <row r="56" spans="1:12" ht="12.75" customHeight="1">
      <c r="A56" s="99"/>
      <c r="B56" s="944" t="s">
        <v>503</v>
      </c>
      <c r="C56" s="900"/>
      <c r="D56" s="132"/>
      <c r="E56" s="934"/>
      <c r="F56" s="935"/>
      <c r="G56" s="936"/>
      <c r="H56" s="1013"/>
      <c r="I56" s="931"/>
      <c r="J56" s="931"/>
      <c r="K56" s="931"/>
      <c r="L56" s="932"/>
    </row>
    <row r="57" spans="1:12" ht="13.5" customHeight="1">
      <c r="A57" s="99"/>
      <c r="B57" s="987" t="s">
        <v>504</v>
      </c>
      <c r="C57" s="988"/>
      <c r="D57" s="132" t="s">
        <v>50</v>
      </c>
      <c r="E57" s="998" t="s">
        <v>809</v>
      </c>
      <c r="F57" s="999"/>
      <c r="G57" s="1000"/>
      <c r="H57" s="989" t="e">
        <f>'In-Unit Lighting'!F47</f>
        <v>#DIV/0!</v>
      </c>
      <c r="I57" s="990"/>
      <c r="J57" s="951" t="s">
        <v>400</v>
      </c>
      <c r="K57" s="951"/>
      <c r="L57" s="952"/>
    </row>
    <row r="58" spans="1:13" ht="12.75" customHeight="1">
      <c r="A58" s="99"/>
      <c r="B58" s="987" t="s">
        <v>505</v>
      </c>
      <c r="C58" s="993"/>
      <c r="D58" s="132" t="s">
        <v>50</v>
      </c>
      <c r="E58" s="133" t="e">
        <f>SUM('Interior Lighting'!L28:L2011)/(SUM('Interior Lighting'!O28:O2011))</f>
        <v>#DIV/0!</v>
      </c>
      <c r="F58" s="937" t="s">
        <v>647</v>
      </c>
      <c r="G58" s="938"/>
      <c r="H58" s="991" t="e">
        <f>(SUM('Interior Lighting'!I28:I2011)/(SUM('Interior Lighting'!O28:O2011)))</f>
        <v>#DIV/0!</v>
      </c>
      <c r="I58" s="992"/>
      <c r="J58" s="951" t="s">
        <v>400</v>
      </c>
      <c r="K58" s="951"/>
      <c r="L58" s="952"/>
      <c r="M58" s="719" t="e">
        <f>IF(H58&gt;1.2*E58,"Total specified lighting power for the combined common spaces is exceeding ASHRAE allowances by more than 20%. This is not permitted.",)</f>
        <v>#DIV/0!</v>
      </c>
    </row>
    <row r="59" spans="1:12" ht="13.5" customHeight="1">
      <c r="A59" s="99"/>
      <c r="B59" s="987" t="s">
        <v>506</v>
      </c>
      <c r="C59" s="993"/>
      <c r="D59" s="132" t="s">
        <v>208</v>
      </c>
      <c r="E59" s="857">
        <f>'Exterior Lighting'!C28</f>
        <v>0</v>
      </c>
      <c r="F59" s="889"/>
      <c r="G59" s="858"/>
      <c r="H59" s="1009">
        <f>'Exterior Lighting'!D28</f>
        <v>0</v>
      </c>
      <c r="I59" s="931"/>
      <c r="J59" s="931"/>
      <c r="K59" s="931"/>
      <c r="L59" s="932"/>
    </row>
    <row r="60" spans="1:12" ht="12.75">
      <c r="A60" s="99"/>
      <c r="B60" s="944" t="s">
        <v>507</v>
      </c>
      <c r="C60" s="944"/>
      <c r="D60" s="132"/>
      <c r="E60" s="934"/>
      <c r="F60" s="935"/>
      <c r="G60" s="936"/>
      <c r="H60" s="1010"/>
      <c r="I60" s="1011"/>
      <c r="J60" s="1011"/>
      <c r="K60" s="1011"/>
      <c r="L60" s="1012"/>
    </row>
    <row r="61" spans="1:12" ht="12.75">
      <c r="A61" s="99"/>
      <c r="B61" s="944" t="s">
        <v>508</v>
      </c>
      <c r="C61" s="900"/>
      <c r="D61" s="132" t="s">
        <v>509</v>
      </c>
      <c r="E61" s="892"/>
      <c r="F61" s="933"/>
      <c r="G61" s="893"/>
      <c r="H61" s="832"/>
      <c r="I61" s="833"/>
      <c r="J61" s="833"/>
      <c r="K61" s="833"/>
      <c r="L61" s="834"/>
    </row>
    <row r="62" spans="1:12" ht="12.75">
      <c r="A62" s="99"/>
      <c r="B62" s="944" t="s">
        <v>510</v>
      </c>
      <c r="C62" s="900"/>
      <c r="D62" s="132" t="s">
        <v>509</v>
      </c>
      <c r="E62" s="892"/>
      <c r="F62" s="933"/>
      <c r="G62" s="893"/>
      <c r="H62" s="832"/>
      <c r="I62" s="833"/>
      <c r="J62" s="833"/>
      <c r="K62" s="833"/>
      <c r="L62" s="834"/>
    </row>
    <row r="63" spans="1:12" ht="12.75">
      <c r="A63" s="99"/>
      <c r="B63" s="944" t="s">
        <v>511</v>
      </c>
      <c r="C63" s="900"/>
      <c r="D63" s="132" t="s">
        <v>509</v>
      </c>
      <c r="E63" s="892"/>
      <c r="F63" s="933"/>
      <c r="G63" s="893"/>
      <c r="H63" s="832"/>
      <c r="I63" s="833"/>
      <c r="J63" s="833"/>
      <c r="K63" s="833"/>
      <c r="L63" s="834"/>
    </row>
    <row r="64" spans="1:12" ht="12.75">
      <c r="A64" s="99"/>
      <c r="B64" s="944" t="s">
        <v>512</v>
      </c>
      <c r="C64" s="944"/>
      <c r="D64" s="132"/>
      <c r="E64" s="934"/>
      <c r="F64" s="935"/>
      <c r="G64" s="936"/>
      <c r="H64" s="1010"/>
      <c r="I64" s="1011"/>
      <c r="J64" s="1011"/>
      <c r="K64" s="1011"/>
      <c r="L64" s="1012"/>
    </row>
    <row r="65" spans="1:12" ht="12.75">
      <c r="A65" s="99"/>
      <c r="B65" s="944" t="s">
        <v>513</v>
      </c>
      <c r="C65" s="900"/>
      <c r="D65" s="132" t="s">
        <v>509</v>
      </c>
      <c r="E65" s="892"/>
      <c r="F65" s="933"/>
      <c r="G65" s="893"/>
      <c r="H65" s="832"/>
      <c r="I65" s="833"/>
      <c r="J65" s="833"/>
      <c r="K65" s="833"/>
      <c r="L65" s="834"/>
    </row>
    <row r="66" spans="1:12" ht="12.75">
      <c r="A66" s="99"/>
      <c r="B66" s="944" t="s">
        <v>514</v>
      </c>
      <c r="C66" s="900"/>
      <c r="D66" s="132" t="s">
        <v>515</v>
      </c>
      <c r="E66" s="179"/>
      <c r="F66" s="78"/>
      <c r="G66" s="79"/>
      <c r="H66" s="180"/>
      <c r="I66" s="80"/>
      <c r="J66" s="78"/>
      <c r="K66" s="181"/>
      <c r="L66" s="182"/>
    </row>
    <row r="67" spans="1:12" ht="12.75">
      <c r="A67" s="99"/>
      <c r="B67" s="944" t="s">
        <v>516</v>
      </c>
      <c r="C67" s="900"/>
      <c r="D67" s="132" t="s">
        <v>517</v>
      </c>
      <c r="E67" s="179"/>
      <c r="F67" s="78"/>
      <c r="G67" s="79"/>
      <c r="H67" s="180"/>
      <c r="I67" s="80"/>
      <c r="J67" s="78"/>
      <c r="K67" s="181"/>
      <c r="L67" s="182"/>
    </row>
    <row r="68" spans="1:12" ht="12.75" customHeight="1">
      <c r="A68" s="99"/>
      <c r="B68" s="944" t="s">
        <v>518</v>
      </c>
      <c r="C68" s="900"/>
      <c r="D68" s="132" t="s">
        <v>84</v>
      </c>
      <c r="E68" s="892"/>
      <c r="F68" s="933"/>
      <c r="G68" s="893"/>
      <c r="H68" s="892"/>
      <c r="I68" s="933"/>
      <c r="J68" s="933"/>
      <c r="K68" s="933"/>
      <c r="L68" s="1020"/>
    </row>
    <row r="69" spans="1:12" ht="12.75" customHeight="1">
      <c r="A69" s="99"/>
      <c r="B69" s="982" t="s">
        <v>519</v>
      </c>
      <c r="C69" s="982"/>
      <c r="D69" s="982"/>
      <c r="E69" s="982"/>
      <c r="F69" s="982"/>
      <c r="G69" s="982"/>
      <c r="H69" s="982"/>
      <c r="I69" s="982"/>
      <c r="J69" s="982"/>
      <c r="K69" s="982"/>
      <c r="L69" s="983"/>
    </row>
    <row r="70" spans="2:12" ht="12.75">
      <c r="B70" s="899" t="s">
        <v>658</v>
      </c>
      <c r="C70" s="944"/>
      <c r="D70" s="132" t="s">
        <v>521</v>
      </c>
      <c r="E70" s="850"/>
      <c r="F70" s="859"/>
      <c r="G70" s="860"/>
      <c r="H70" s="948"/>
      <c r="I70" s="949"/>
      <c r="J70" s="949"/>
      <c r="K70" s="949"/>
      <c r="L70" s="950"/>
    </row>
    <row r="71" spans="2:12" ht="12.75">
      <c r="B71" s="899" t="s">
        <v>522</v>
      </c>
      <c r="C71" s="900"/>
      <c r="D71" s="132" t="s">
        <v>102</v>
      </c>
      <c r="E71" s="945">
        <v>2.5</v>
      </c>
      <c r="F71" s="946"/>
      <c r="G71" s="947"/>
      <c r="H71" s="945" t="e">
        <f>'DHW Demand'!C7</f>
        <v>#DIV/0!</v>
      </c>
      <c r="I71" s="1021"/>
      <c r="J71" s="1021"/>
      <c r="K71" s="1021"/>
      <c r="L71" s="1022"/>
    </row>
    <row r="72" spans="2:12" ht="12.75">
      <c r="B72" s="899" t="s">
        <v>171</v>
      </c>
      <c r="C72" s="900"/>
      <c r="D72" s="132" t="s">
        <v>102</v>
      </c>
      <c r="E72" s="945">
        <v>2.5</v>
      </c>
      <c r="F72" s="946"/>
      <c r="G72" s="947"/>
      <c r="H72" s="945">
        <f>'DHW Demand'!C8</f>
        <v>0</v>
      </c>
      <c r="I72" s="1021"/>
      <c r="J72" s="1021"/>
      <c r="K72" s="1021"/>
      <c r="L72" s="1022"/>
    </row>
    <row r="73" spans="2:12" ht="12.75">
      <c r="B73" s="855" t="s">
        <v>523</v>
      </c>
      <c r="C73" s="856"/>
      <c r="D73" s="134" t="s">
        <v>524</v>
      </c>
      <c r="E73" s="890"/>
      <c r="F73" s="1007"/>
      <c r="G73" s="891"/>
      <c r="H73" s="890"/>
      <c r="I73" s="1007"/>
      <c r="J73" s="1007"/>
      <c r="K73" s="1007"/>
      <c r="L73" s="1023"/>
    </row>
    <row r="74" spans="2:12" ht="12.75" customHeight="1">
      <c r="B74" s="1017" t="s">
        <v>525</v>
      </c>
      <c r="C74" s="1018"/>
      <c r="D74" s="1018"/>
      <c r="E74" s="1018"/>
      <c r="F74" s="1018"/>
      <c r="G74" s="1018"/>
      <c r="H74" s="1018"/>
      <c r="I74" s="1018"/>
      <c r="J74" s="1018"/>
      <c r="K74" s="1018"/>
      <c r="L74" s="1019"/>
    </row>
    <row r="75" spans="2:12" ht="12.75">
      <c r="B75" s="922" t="s">
        <v>526</v>
      </c>
      <c r="C75" s="1008"/>
      <c r="D75" s="135"/>
      <c r="E75" s="1027"/>
      <c r="F75" s="1028"/>
      <c r="G75" s="1029"/>
      <c r="H75" s="1024"/>
      <c r="I75" s="1025"/>
      <c r="J75" s="1025"/>
      <c r="K75" s="1025"/>
      <c r="L75" s="1026"/>
    </row>
    <row r="76" spans="2:12" ht="12.75">
      <c r="B76" s="899" t="s">
        <v>527</v>
      </c>
      <c r="C76" s="944"/>
      <c r="D76" s="132" t="s">
        <v>84</v>
      </c>
      <c r="E76" s="892"/>
      <c r="F76" s="933"/>
      <c r="G76" s="893"/>
      <c r="H76" s="832"/>
      <c r="I76" s="833"/>
      <c r="J76" s="833"/>
      <c r="K76" s="833"/>
      <c r="L76" s="834"/>
    </row>
    <row r="77" spans="1:12" ht="12.75" customHeight="1">
      <c r="A77" s="99"/>
      <c r="B77" s="982" t="s">
        <v>339</v>
      </c>
      <c r="C77" s="982"/>
      <c r="D77" s="982"/>
      <c r="E77" s="982"/>
      <c r="F77" s="982"/>
      <c r="G77" s="982"/>
      <c r="H77" s="982"/>
      <c r="I77" s="982"/>
      <c r="J77" s="982"/>
      <c r="K77" s="982"/>
      <c r="L77" s="983"/>
    </row>
    <row r="78" spans="2:12" ht="12.75">
      <c r="B78" s="899"/>
      <c r="C78" s="944"/>
      <c r="D78" s="132"/>
      <c r="E78" s="886"/>
      <c r="F78" s="887"/>
      <c r="G78" s="888"/>
      <c r="H78" s="984"/>
      <c r="I78" s="985"/>
      <c r="J78" s="985"/>
      <c r="K78" s="985"/>
      <c r="L78" s="986"/>
    </row>
    <row r="79" spans="2:12" ht="12.75">
      <c r="B79" s="136"/>
      <c r="C79" s="114"/>
      <c r="D79" s="132"/>
      <c r="E79" s="886"/>
      <c r="F79" s="887"/>
      <c r="G79" s="888"/>
      <c r="H79" s="984"/>
      <c r="I79" s="985"/>
      <c r="J79" s="985"/>
      <c r="K79" s="985"/>
      <c r="L79" s="986"/>
    </row>
    <row r="80" spans="1:12" ht="13.5" thickBot="1">
      <c r="A80" s="99"/>
      <c r="B80" s="918"/>
      <c r="C80" s="918"/>
      <c r="D80" s="137"/>
      <c r="E80" s="919"/>
      <c r="F80" s="920"/>
      <c r="G80" s="921"/>
      <c r="H80" s="979"/>
      <c r="I80" s="980"/>
      <c r="J80" s="980"/>
      <c r="K80" s="980"/>
      <c r="L80" s="981"/>
    </row>
    <row r="81" spans="1:12" ht="13.5" thickBot="1">
      <c r="A81" s="99"/>
      <c r="B81" s="103"/>
      <c r="C81" s="103"/>
      <c r="D81" s="103"/>
      <c r="E81" s="103"/>
      <c r="F81" s="103"/>
      <c r="G81" s="103"/>
      <c r="H81" s="103"/>
      <c r="I81" s="103"/>
      <c r="J81" s="103"/>
      <c r="K81" s="103"/>
      <c r="L81" s="104"/>
    </row>
    <row r="82" spans="1:12" ht="16.5" thickBot="1">
      <c r="A82" s="99"/>
      <c r="B82" s="100" t="s">
        <v>70</v>
      </c>
      <c r="I82" s="129"/>
      <c r="J82" s="129"/>
      <c r="K82" s="129"/>
      <c r="L82" s="130"/>
    </row>
    <row r="83" spans="2:12" ht="42" customHeight="1">
      <c r="B83" s="138" t="s">
        <v>528</v>
      </c>
      <c r="C83" s="139"/>
      <c r="D83" s="131" t="s">
        <v>106</v>
      </c>
      <c r="E83" s="837" t="s">
        <v>32</v>
      </c>
      <c r="F83" s="838"/>
      <c r="G83" s="837" t="s">
        <v>33</v>
      </c>
      <c r="H83" s="917"/>
      <c r="I83" s="1278" t="s">
        <v>871</v>
      </c>
      <c r="J83" s="838"/>
      <c r="K83" s="1278" t="s">
        <v>870</v>
      </c>
      <c r="L83" s="839"/>
    </row>
    <row r="84" spans="2:12" ht="12.75" customHeight="1">
      <c r="B84" s="924" t="s">
        <v>35</v>
      </c>
      <c r="C84" s="925"/>
      <c r="D84" s="925"/>
      <c r="E84" s="925"/>
      <c r="F84" s="925"/>
      <c r="G84" s="925"/>
      <c r="H84" s="925"/>
      <c r="I84" s="925"/>
      <c r="J84" s="925"/>
      <c r="K84" s="925"/>
      <c r="L84" s="926"/>
    </row>
    <row r="85" spans="2:12" ht="12.75">
      <c r="B85" s="922" t="s">
        <v>36</v>
      </c>
      <c r="C85" s="923"/>
      <c r="D85" s="140" t="s">
        <v>83</v>
      </c>
      <c r="E85" s="1282" t="e">
        <f>'Results from eQUEST'!S17</f>
        <v>#DIV/0!</v>
      </c>
      <c r="F85" s="1283"/>
      <c r="G85" s="1282">
        <f>'Results from eQUEST'!S19</f>
        <v>0</v>
      </c>
      <c r="H85" s="1283"/>
      <c r="I85" s="1030" t="e">
        <f>IF(E85&gt;0,(E85-G85)/E85,"NA")</f>
        <v>#DIV/0!</v>
      </c>
      <c r="J85" s="1279"/>
      <c r="K85" s="1295" t="e">
        <f>$C$107*(E85-G85)/$E$120</f>
        <v>#DIV/0!</v>
      </c>
      <c r="L85" s="1296"/>
    </row>
    <row r="86" spans="2:12" ht="12.75">
      <c r="B86" s="899" t="s">
        <v>37</v>
      </c>
      <c r="C86" s="900"/>
      <c r="D86" s="141" t="s">
        <v>83</v>
      </c>
      <c r="E86" s="1284" t="e">
        <f>'Results from eQUEST'!O17+'Results from eQUEST'!U17</f>
        <v>#DIV/0!</v>
      </c>
      <c r="F86" s="1285"/>
      <c r="G86" s="1286">
        <f>'Results from eQUEST'!O19+'Results from eQUEST'!U19</f>
        <v>0</v>
      </c>
      <c r="H86" s="1285"/>
      <c r="I86" s="1034" t="e">
        <f aca="true" t="shared" si="0" ref="I86:I93">IF(E86&gt;0,(E86-G86)/E86,"NA")</f>
        <v>#DIV/0!</v>
      </c>
      <c r="J86" s="1280"/>
      <c r="K86" s="1297" t="e">
        <f aca="true" t="shared" si="1" ref="K86:K93">$C$107*(E86-G86)/$E$120</f>
        <v>#DIV/0!</v>
      </c>
      <c r="L86" s="1298"/>
    </row>
    <row r="87" spans="2:13" ht="12.75">
      <c r="B87" s="899" t="s">
        <v>38</v>
      </c>
      <c r="C87" s="900"/>
      <c r="D87" s="141" t="s">
        <v>83</v>
      </c>
      <c r="E87" s="1284" t="e">
        <f>'Results from eQUEST'!P17+'Results from eQUEST'!Q17</f>
        <v>#DIV/0!</v>
      </c>
      <c r="F87" s="1285"/>
      <c r="G87" s="1286">
        <f>'Results from eQUEST'!P19+'Results from eQUEST'!Q19</f>
        <v>0</v>
      </c>
      <c r="H87" s="1285"/>
      <c r="I87" s="1034" t="e">
        <f t="shared" si="0"/>
        <v>#DIV/0!</v>
      </c>
      <c r="J87" s="1280"/>
      <c r="K87" s="1297" t="e">
        <f t="shared" si="1"/>
        <v>#DIV/0!</v>
      </c>
      <c r="L87" s="1298"/>
      <c r="M87" s="814"/>
    </row>
    <row r="88" spans="2:12" ht="12.75">
      <c r="B88" s="899" t="s">
        <v>39</v>
      </c>
      <c r="C88" s="900"/>
      <c r="D88" s="141" t="s">
        <v>83</v>
      </c>
      <c r="E88" s="1284" t="e">
        <f>'Results from eQUEST'!V17</f>
        <v>#DIV/0!</v>
      </c>
      <c r="F88" s="1285"/>
      <c r="G88" s="1286">
        <f>'Results from eQUEST'!V19</f>
        <v>0</v>
      </c>
      <c r="H88" s="1285"/>
      <c r="I88" s="1034" t="e">
        <f t="shared" si="0"/>
        <v>#DIV/0!</v>
      </c>
      <c r="J88" s="1280"/>
      <c r="K88" s="1297" t="e">
        <f t="shared" si="1"/>
        <v>#DIV/0!</v>
      </c>
      <c r="L88" s="1298"/>
    </row>
    <row r="89" spans="2:12" ht="12.75">
      <c r="B89" s="899" t="s">
        <v>40</v>
      </c>
      <c r="C89" s="900"/>
      <c r="D89" s="141" t="s">
        <v>83</v>
      </c>
      <c r="E89" s="1286" t="e">
        <f>'Results from eQUEST'!L17+'Results from eQUEST'!M17-E90</f>
        <v>#DIV/0!</v>
      </c>
      <c r="F89" s="1285"/>
      <c r="G89" s="1286">
        <f>'Results from eQUEST'!L19+'Results from eQUEST'!M19-G90</f>
        <v>0</v>
      </c>
      <c r="H89" s="1285"/>
      <c r="I89" s="1034" t="e">
        <f t="shared" si="0"/>
        <v>#DIV/0!</v>
      </c>
      <c r="J89" s="1280"/>
      <c r="K89" s="1297" t="e">
        <f t="shared" si="1"/>
        <v>#DIV/0!</v>
      </c>
      <c r="L89" s="1298"/>
    </row>
    <row r="90" spans="2:12" ht="12.75">
      <c r="B90" s="899" t="s">
        <v>506</v>
      </c>
      <c r="C90" s="900"/>
      <c r="D90" s="141" t="s">
        <v>83</v>
      </c>
      <c r="E90" s="1284">
        <f>E59*12*365/1000</f>
        <v>0</v>
      </c>
      <c r="F90" s="1285"/>
      <c r="G90" s="1286">
        <f>H59*12*365/1000</f>
        <v>0</v>
      </c>
      <c r="H90" s="1285"/>
      <c r="I90" s="1034" t="str">
        <f t="shared" si="0"/>
        <v>NA</v>
      </c>
      <c r="J90" s="1280"/>
      <c r="K90" s="1297" t="e">
        <f t="shared" si="1"/>
        <v>#DIV/0!</v>
      </c>
      <c r="L90" s="1298"/>
    </row>
    <row r="91" spans="2:12" ht="12.75">
      <c r="B91" s="899" t="s">
        <v>107</v>
      </c>
      <c r="C91" s="900"/>
      <c r="D91" s="141" t="s">
        <v>83</v>
      </c>
      <c r="E91" s="1284" t="e">
        <f>'Results from eQUEST'!$N$17+'Results from eQUEST'!$T$17-E93</f>
        <v>#DIV/0!</v>
      </c>
      <c r="F91" s="1285"/>
      <c r="G91" s="1286">
        <f>'Results from eQUEST'!$N$19+'Results from eQUEST'!$T$19-G93</f>
        <v>0</v>
      </c>
      <c r="H91" s="1285"/>
      <c r="I91" s="1034" t="e">
        <f t="shared" si="0"/>
        <v>#DIV/0!</v>
      </c>
      <c r="J91" s="1280"/>
      <c r="K91" s="1297" t="e">
        <f t="shared" si="1"/>
        <v>#DIV/0!</v>
      </c>
      <c r="L91" s="1298"/>
    </row>
    <row r="92" spans="2:12" ht="12.75">
      <c r="B92" s="899" t="s">
        <v>41</v>
      </c>
      <c r="C92" s="900"/>
      <c r="D92" s="141" t="s">
        <v>83</v>
      </c>
      <c r="E92" s="1284" t="e">
        <f>'Results from eQUEST'!R17+'Results from eQUEST'!W17</f>
        <v>#DIV/0!</v>
      </c>
      <c r="F92" s="1285"/>
      <c r="G92" s="1286">
        <f>'Results from eQUEST'!R19+'Results from eQUEST'!W19</f>
        <v>0</v>
      </c>
      <c r="H92" s="1285"/>
      <c r="I92" s="1034" t="e">
        <f t="shared" si="0"/>
        <v>#DIV/0!</v>
      </c>
      <c r="J92" s="1280"/>
      <c r="K92" s="1297" t="e">
        <f t="shared" si="1"/>
        <v>#DIV/0!</v>
      </c>
      <c r="L92" s="1298"/>
    </row>
    <row r="93" spans="2:12" ht="12.75">
      <c r="B93" s="855" t="s">
        <v>42</v>
      </c>
      <c r="C93" s="856"/>
      <c r="D93" s="142" t="s">
        <v>83</v>
      </c>
      <c r="E93" s="1287">
        <f>Appliances!D28*'Simulation Summary'!C10*Appliances!D58*365/1000+Appliances!D29*('Basic Info'!C19+'Basic Info'!C20)*Appliances!C58*365/1000+Appliances!D31*'Basic Info'!C22*Appliances!C58*365/1000</f>
        <v>0</v>
      </c>
      <c r="F93" s="1288"/>
      <c r="G93" s="1287">
        <f>E93</f>
        <v>0</v>
      </c>
      <c r="H93" s="1288"/>
      <c r="I93" s="1031" t="str">
        <f t="shared" si="0"/>
        <v>NA</v>
      </c>
      <c r="J93" s="1281"/>
      <c r="K93" s="1299" t="e">
        <f t="shared" si="1"/>
        <v>#DIV/0!</v>
      </c>
      <c r="L93" s="1300"/>
    </row>
    <row r="94" spans="2:12" ht="12.75" customHeight="1">
      <c r="B94" s="894" t="s">
        <v>43</v>
      </c>
      <c r="C94" s="897"/>
      <c r="D94" s="897"/>
      <c r="E94" s="897"/>
      <c r="F94" s="897"/>
      <c r="G94" s="897"/>
      <c r="H94" s="897"/>
      <c r="I94" s="897"/>
      <c r="J94" s="897"/>
      <c r="K94" s="897"/>
      <c r="L94" s="898"/>
    </row>
    <row r="95" spans="2:12" ht="12.75">
      <c r="B95" s="899" t="s">
        <v>37</v>
      </c>
      <c r="C95" s="900"/>
      <c r="D95" s="141" t="s">
        <v>31</v>
      </c>
      <c r="E95" s="1286" t="e">
        <f>'Results from eQUEST'!$BA$17*100000/1000000+'Results from eQUEST'!$BG$17*100000/1000000-E99</f>
        <v>#DIV/0!</v>
      </c>
      <c r="F95" s="1285"/>
      <c r="G95" s="1286">
        <f>'Results from eQUEST'!$BA$19*100000/1000000+'Results from eQUEST'!$BG$19*100000/1000000-G99</f>
        <v>0</v>
      </c>
      <c r="H95" s="1285"/>
      <c r="I95" s="1030" t="e">
        <f>IF(E95&gt;0,(E95-G95)/E95,"NA")</f>
        <v>#DIV/0!</v>
      </c>
      <c r="J95" s="1279"/>
      <c r="K95" s="1295" t="e">
        <f>$C$108*(E95-G95)*10/$E$120</f>
        <v>#DIV/0!</v>
      </c>
      <c r="L95" s="1296"/>
    </row>
    <row r="96" spans="2:12" ht="12.75" customHeight="1">
      <c r="B96" s="899" t="s">
        <v>39</v>
      </c>
      <c r="C96" s="944"/>
      <c r="D96" s="141" t="s">
        <v>31</v>
      </c>
      <c r="E96" s="1286" t="e">
        <f>'Results from eQUEST'!$BH$17*100000/1000000-E100</f>
        <v>#DIV/0!</v>
      </c>
      <c r="F96" s="1285"/>
      <c r="G96" s="1286">
        <f>'Results from eQUEST'!$BH$19*100000/1000000-G100</f>
        <v>0</v>
      </c>
      <c r="H96" s="1285"/>
      <c r="I96" s="1034" t="e">
        <f>IF(E96&gt;0,(E96-G96)/E96,"NA")</f>
        <v>#DIV/0!</v>
      </c>
      <c r="J96" s="1280"/>
      <c r="K96" s="1297" t="e">
        <f>$C$108*(E96-G96)*10/$E$120</f>
        <v>#DIV/0!</v>
      </c>
      <c r="L96" s="1298"/>
    </row>
    <row r="97" spans="2:12" ht="12.75">
      <c r="B97" s="855" t="s">
        <v>107</v>
      </c>
      <c r="C97" s="1042"/>
      <c r="D97" s="143" t="s">
        <v>31</v>
      </c>
      <c r="E97" s="1287" t="e">
        <f>'Results from eQUEST'!$AZ$17*100000/1000000</f>
        <v>#DIV/0!</v>
      </c>
      <c r="F97" s="1288"/>
      <c r="G97" s="1287">
        <f>'Results from eQUEST'!$AZ$19*100000/1000000</f>
        <v>0</v>
      </c>
      <c r="H97" s="1288"/>
      <c r="I97" s="1031" t="e">
        <f>IF(E97&gt;0,(E97-G97)/E97,"NA")</f>
        <v>#DIV/0!</v>
      </c>
      <c r="J97" s="1281"/>
      <c r="K97" s="1297" t="e">
        <f>$C$108*(E97-G97)*10/$E$120</f>
        <v>#DIV/0!</v>
      </c>
      <c r="L97" s="1298"/>
    </row>
    <row r="98" spans="2:12" ht="12.75" customHeight="1">
      <c r="B98" s="894" t="s">
        <v>44</v>
      </c>
      <c r="C98" s="895"/>
      <c r="D98" s="895"/>
      <c r="E98" s="895"/>
      <c r="F98" s="895"/>
      <c r="G98" s="895"/>
      <c r="H98" s="895"/>
      <c r="I98" s="895"/>
      <c r="J98" s="895"/>
      <c r="K98" s="895"/>
      <c r="L98" s="896"/>
    </row>
    <row r="99" spans="2:12" ht="12.75">
      <c r="B99" s="899" t="s">
        <v>37</v>
      </c>
      <c r="C99" s="900"/>
      <c r="D99" s="141" t="s">
        <v>31</v>
      </c>
      <c r="E99" s="1291"/>
      <c r="F99" s="1292"/>
      <c r="G99" s="1291"/>
      <c r="H99" s="1292"/>
      <c r="I99" s="1030" t="str">
        <f>IF(E99&gt;0,(E99-G99)/E99,"NA")</f>
        <v>NA</v>
      </c>
      <c r="J99" s="927"/>
      <c r="K99" s="927"/>
      <c r="L99" s="928"/>
    </row>
    <row r="100" spans="2:12" ht="12.75" customHeight="1">
      <c r="B100" s="855" t="s">
        <v>39</v>
      </c>
      <c r="C100" s="1042"/>
      <c r="D100" s="143" t="s">
        <v>31</v>
      </c>
      <c r="E100" s="1293"/>
      <c r="F100" s="1294"/>
      <c r="G100" s="1293"/>
      <c r="H100" s="1294"/>
      <c r="I100" s="1031" t="str">
        <f>IF(E100&gt;0,(E100-G100)/E100,"NA")</f>
        <v>NA</v>
      </c>
      <c r="J100" s="1032"/>
      <c r="K100" s="1032"/>
      <c r="L100" s="1033"/>
    </row>
    <row r="101" spans="2:12" ht="12.75" customHeight="1">
      <c r="B101" s="894" t="s">
        <v>45</v>
      </c>
      <c r="C101" s="895"/>
      <c r="D101" s="895"/>
      <c r="E101" s="895"/>
      <c r="F101" s="895"/>
      <c r="G101" s="895"/>
      <c r="H101" s="895"/>
      <c r="I101" s="895"/>
      <c r="J101" s="895"/>
      <c r="K101" s="895"/>
      <c r="L101" s="896"/>
    </row>
    <row r="102" spans="2:12" ht="12.75">
      <c r="B102" s="1040" t="s">
        <v>35</v>
      </c>
      <c r="C102" s="1041"/>
      <c r="D102" s="141" t="s">
        <v>83</v>
      </c>
      <c r="E102" s="1286" t="e">
        <f>SUM(E85:F93)</f>
        <v>#DIV/0!</v>
      </c>
      <c r="F102" s="1285"/>
      <c r="G102" s="1286">
        <f>SUM(G85:H93)</f>
        <v>0</v>
      </c>
      <c r="H102" s="1285"/>
      <c r="I102" s="1030" t="e">
        <f>IF(E102&gt;0,(E102-G102)/E102,"NA")</f>
        <v>#DIV/0!</v>
      </c>
      <c r="J102" s="927"/>
      <c r="K102" s="927"/>
      <c r="L102" s="928"/>
    </row>
    <row r="103" spans="2:12" ht="12.75">
      <c r="B103" s="1040" t="s">
        <v>43</v>
      </c>
      <c r="C103" s="1041"/>
      <c r="D103" s="141" t="s">
        <v>31</v>
      </c>
      <c r="E103" s="1286" t="e">
        <f>SUM(E95:F97)</f>
        <v>#DIV/0!</v>
      </c>
      <c r="F103" s="1285"/>
      <c r="G103" s="1286">
        <f>SUM(G95:H97)</f>
        <v>0</v>
      </c>
      <c r="H103" s="1285"/>
      <c r="I103" s="1034" t="e">
        <f>IF(E103&gt;0,(E103-G103)/E103,"NA")</f>
        <v>#DIV/0!</v>
      </c>
      <c r="J103" s="848"/>
      <c r="K103" s="848"/>
      <c r="L103" s="849"/>
    </row>
    <row r="104" spans="1:12" ht="13.5" thickBot="1">
      <c r="A104" s="99"/>
      <c r="B104" s="1038" t="s">
        <v>46</v>
      </c>
      <c r="C104" s="1039"/>
      <c r="D104" s="144" t="s">
        <v>31</v>
      </c>
      <c r="E104" s="1289">
        <f>SUM(E99:F100)</f>
        <v>0</v>
      </c>
      <c r="F104" s="1290"/>
      <c r="G104" s="1289">
        <f>SUM(G99:H100)</f>
        <v>0</v>
      </c>
      <c r="H104" s="1290"/>
      <c r="I104" s="1035" t="str">
        <f>IF(E104&gt;0,(E104-G104)/E104,"NA")</f>
        <v>NA</v>
      </c>
      <c r="J104" s="1036"/>
      <c r="K104" s="1036"/>
      <c r="L104" s="1037"/>
    </row>
    <row r="105" spans="1:12" ht="13.5" thickBot="1">
      <c r="A105" s="99"/>
      <c r="B105" s="145"/>
      <c r="C105" s="146"/>
      <c r="D105" s="146"/>
      <c r="E105" s="146"/>
      <c r="F105" s="146"/>
      <c r="G105" s="146"/>
      <c r="H105" s="146"/>
      <c r="I105" s="146"/>
      <c r="J105" s="146"/>
      <c r="K105" s="146"/>
      <c r="L105" s="147"/>
    </row>
    <row r="106" spans="1:12" ht="16.5" thickBot="1">
      <c r="A106" s="99"/>
      <c r="B106" s="128" t="s">
        <v>71</v>
      </c>
      <c r="C106" s="129"/>
      <c r="D106" s="129"/>
      <c r="E106" s="129"/>
      <c r="F106" s="129"/>
      <c r="G106" s="129"/>
      <c r="H106" s="129"/>
      <c r="I106" s="129"/>
      <c r="J106" s="129"/>
      <c r="K106" s="129"/>
      <c r="L106" s="130"/>
    </row>
    <row r="107" spans="1:12" ht="13.5" thickBot="1">
      <c r="A107" s="99"/>
      <c r="B107" s="148" t="s">
        <v>347</v>
      </c>
      <c r="C107" s="149">
        <f>'Simulation Summary'!C17</f>
        <v>0</v>
      </c>
      <c r="D107" s="150" t="s">
        <v>348</v>
      </c>
      <c r="E107" s="151"/>
      <c r="F107" s="151"/>
      <c r="G107" s="151"/>
      <c r="H107" s="151"/>
      <c r="I107" s="151"/>
      <c r="J107" s="151"/>
      <c r="K107" s="151"/>
      <c r="L107" s="152"/>
    </row>
    <row r="108" spans="1:12" ht="13.5" thickBot="1">
      <c r="A108" s="99"/>
      <c r="B108" s="153" t="s">
        <v>340</v>
      </c>
      <c r="C108" s="154">
        <f>'Simulation Summary'!C18</f>
        <v>0</v>
      </c>
      <c r="D108" s="130" t="s">
        <v>349</v>
      </c>
      <c r="E108" s="151"/>
      <c r="F108" s="151"/>
      <c r="G108" s="151"/>
      <c r="H108" s="151"/>
      <c r="I108" s="151"/>
      <c r="J108" s="151"/>
      <c r="K108" s="151"/>
      <c r="L108" s="152"/>
    </row>
    <row r="109" spans="1:12" ht="13.5" thickBot="1">
      <c r="A109" s="99"/>
      <c r="B109" s="153" t="s">
        <v>529</v>
      </c>
      <c r="C109" s="154">
        <f>'Simulation Summary'!C19</f>
        <v>0</v>
      </c>
      <c r="D109" s="130" t="s">
        <v>16</v>
      </c>
      <c r="E109" s="151"/>
      <c r="F109" s="151"/>
      <c r="G109" s="151"/>
      <c r="H109" s="151"/>
      <c r="I109" s="151"/>
      <c r="J109" s="151"/>
      <c r="K109" s="151"/>
      <c r="L109" s="152"/>
    </row>
    <row r="110" spans="1:12" ht="12.75">
      <c r="A110" s="99"/>
      <c r="B110" s="116"/>
      <c r="C110" s="116"/>
      <c r="D110" s="116"/>
      <c r="E110" s="116"/>
      <c r="F110" s="116"/>
      <c r="G110" s="116"/>
      <c r="H110" s="116"/>
      <c r="I110" s="116"/>
      <c r="J110" s="116"/>
      <c r="K110" s="116"/>
      <c r="L110" s="95"/>
    </row>
    <row r="111" spans="1:12" ht="16.5" thickBot="1">
      <c r="A111" s="99"/>
      <c r="B111" s="100" t="s">
        <v>72</v>
      </c>
      <c r="L111" s="99"/>
    </row>
    <row r="112" spans="1:13" ht="13.5" thickBot="1">
      <c r="A112" s="99"/>
      <c r="B112" s="155"/>
      <c r="C112" s="853" t="s">
        <v>241</v>
      </c>
      <c r="D112" s="853"/>
      <c r="E112" s="854"/>
      <c r="F112" s="156"/>
      <c r="G112" s="853" t="s">
        <v>242</v>
      </c>
      <c r="H112" s="853"/>
      <c r="I112" s="854"/>
      <c r="J112" s="842" t="s">
        <v>351</v>
      </c>
      <c r="K112" s="994" t="s">
        <v>352</v>
      </c>
      <c r="L112" s="995"/>
      <c r="M112" s="86"/>
    </row>
    <row r="113" spans="1:13" ht="13.5" thickBot="1">
      <c r="A113" s="99"/>
      <c r="B113" s="157"/>
      <c r="C113" s="158" t="s">
        <v>17</v>
      </c>
      <c r="D113" s="159" t="s">
        <v>353</v>
      </c>
      <c r="E113" s="159" t="s">
        <v>357</v>
      </c>
      <c r="F113" s="159"/>
      <c r="G113" s="160" t="s">
        <v>17</v>
      </c>
      <c r="H113" s="160" t="s">
        <v>353</v>
      </c>
      <c r="I113" s="160" t="s">
        <v>357</v>
      </c>
      <c r="J113" s="843"/>
      <c r="K113" s="996"/>
      <c r="L113" s="997"/>
      <c r="M113" s="86"/>
    </row>
    <row r="114" spans="1:13" ht="18" customHeight="1" thickBot="1">
      <c r="A114" s="99"/>
      <c r="B114" s="161" t="s">
        <v>358</v>
      </c>
      <c r="C114" s="162" t="e">
        <f>'Simulation Summary'!C24</f>
        <v>#DIV/0!</v>
      </c>
      <c r="D114" s="162" t="e">
        <f>'Simulation Summary'!D24</f>
        <v>#DIV/0!</v>
      </c>
      <c r="E114" s="162" t="e">
        <f>'Simulation Summary'!E24</f>
        <v>#DIV/0!</v>
      </c>
      <c r="F114" s="159"/>
      <c r="G114" s="162">
        <f>'Simulation Summary'!F24</f>
        <v>0</v>
      </c>
      <c r="H114" s="162">
        <f>'Simulation Summary'!G24</f>
        <v>0</v>
      </c>
      <c r="I114" s="162">
        <f>'Simulation Summary'!H24</f>
        <v>0</v>
      </c>
      <c r="J114" s="163" t="e">
        <f>'Simulation Summary'!I24</f>
        <v>#DIV/0!</v>
      </c>
      <c r="K114" s="840" t="e">
        <f>'Simulation Summary'!J24</f>
        <v>#DIV/0!</v>
      </c>
      <c r="L114" s="841"/>
      <c r="M114" s="86"/>
    </row>
    <row r="115" spans="1:13" ht="18" customHeight="1" thickBot="1">
      <c r="A115" s="99"/>
      <c r="B115" s="161" t="s">
        <v>359</v>
      </c>
      <c r="C115" s="162" t="e">
        <f>'Simulation Summary'!C25</f>
        <v>#DIV/0!</v>
      </c>
      <c r="D115" s="162" t="e">
        <f>'Simulation Summary'!D25</f>
        <v>#DIV/0!</v>
      </c>
      <c r="E115" s="162" t="e">
        <f>'Simulation Summary'!E25</f>
        <v>#DIV/0!</v>
      </c>
      <c r="F115" s="159"/>
      <c r="G115" s="162">
        <f>'Simulation Summary'!F25</f>
        <v>0</v>
      </c>
      <c r="H115" s="162">
        <f>'Simulation Summary'!G25</f>
        <v>0</v>
      </c>
      <c r="I115" s="162">
        <f>'Simulation Summary'!H25</f>
        <v>0</v>
      </c>
      <c r="J115" s="163" t="e">
        <f>'Simulation Summary'!I25</f>
        <v>#DIV/0!</v>
      </c>
      <c r="K115" s="819" t="e">
        <f>'Simulation Summary'!J25</f>
        <v>#DIV/0!</v>
      </c>
      <c r="L115" s="820"/>
      <c r="M115" s="86"/>
    </row>
    <row r="116" spans="1:13" ht="18" customHeight="1" thickBot="1">
      <c r="A116" s="99"/>
      <c r="B116" s="129" t="s">
        <v>360</v>
      </c>
      <c r="C116" s="162" t="e">
        <f>'Simulation Summary'!C26</f>
        <v>#DIV/0!</v>
      </c>
      <c r="D116" s="162" t="e">
        <f>'Simulation Summary'!D26</f>
        <v>#DIV/0!</v>
      </c>
      <c r="E116" s="162" t="e">
        <f>'Simulation Summary'!E26</f>
        <v>#DIV/0!</v>
      </c>
      <c r="F116" s="159"/>
      <c r="G116" s="162">
        <f>'Simulation Summary'!F26</f>
        <v>0</v>
      </c>
      <c r="H116" s="162">
        <f>'Simulation Summary'!G26</f>
        <v>0</v>
      </c>
      <c r="I116" s="162">
        <f>'Simulation Summary'!H26</f>
        <v>0</v>
      </c>
      <c r="J116" s="163" t="e">
        <f>'Simulation Summary'!I26</f>
        <v>#DIV/0!</v>
      </c>
      <c r="K116" s="840" t="e">
        <f>'Simulation Summary'!J26</f>
        <v>#DIV/0!</v>
      </c>
      <c r="L116" s="841"/>
      <c r="M116" s="86"/>
    </row>
    <row r="117" spans="1:13" ht="18" customHeight="1" thickBot="1">
      <c r="A117" s="99"/>
      <c r="B117" s="129" t="s">
        <v>361</v>
      </c>
      <c r="C117" s="162" t="e">
        <f>'Simulation Summary'!C27</f>
        <v>#DIV/0!</v>
      </c>
      <c r="D117" s="162" t="e">
        <f>'Simulation Summary'!D27</f>
        <v>#DIV/0!</v>
      </c>
      <c r="E117" s="162" t="e">
        <f>'Simulation Summary'!E27</f>
        <v>#DIV/0!</v>
      </c>
      <c r="F117" s="159"/>
      <c r="G117" s="162">
        <f>'Simulation Summary'!F27</f>
        <v>0</v>
      </c>
      <c r="H117" s="162">
        <f>'Simulation Summary'!G27</f>
        <v>0</v>
      </c>
      <c r="I117" s="162">
        <f>'Simulation Summary'!H27</f>
        <v>0</v>
      </c>
      <c r="J117" s="163" t="e">
        <f>'Simulation Summary'!I27</f>
        <v>#DIV/0!</v>
      </c>
      <c r="K117" s="819" t="e">
        <f>'Simulation Summary'!J27</f>
        <v>#DIV/0!</v>
      </c>
      <c r="L117" s="820"/>
      <c r="M117" s="86"/>
    </row>
    <row r="118" spans="1:13" ht="18" customHeight="1" thickBot="1">
      <c r="A118" s="99"/>
      <c r="B118" s="129" t="s">
        <v>362</v>
      </c>
      <c r="C118" s="162" t="e">
        <f>'Simulation Summary'!C28</f>
        <v>#DIV/0!</v>
      </c>
      <c r="D118" s="162" t="e">
        <f>'Simulation Summary'!D28</f>
        <v>#DIV/0!</v>
      </c>
      <c r="E118" s="162" t="e">
        <f>'Simulation Summary'!E28</f>
        <v>#DIV/0!</v>
      </c>
      <c r="F118" s="159"/>
      <c r="G118" s="162">
        <f>'Simulation Summary'!F28</f>
        <v>0</v>
      </c>
      <c r="H118" s="162">
        <f>'Simulation Summary'!G28</f>
        <v>0</v>
      </c>
      <c r="I118" s="162">
        <f>'Simulation Summary'!H28</f>
        <v>0</v>
      </c>
      <c r="J118" s="163" t="e">
        <f>'Simulation Summary'!I28</f>
        <v>#DIV/0!</v>
      </c>
      <c r="K118" s="840" t="e">
        <f>'Simulation Summary'!J28</f>
        <v>#DIV/0!</v>
      </c>
      <c r="L118" s="841"/>
      <c r="M118" s="86"/>
    </row>
    <row r="119" spans="1:13" ht="18" customHeight="1" thickBot="1">
      <c r="A119" s="99"/>
      <c r="B119" s="129" t="s">
        <v>363</v>
      </c>
      <c r="C119" s="162" t="e">
        <f>'Simulation Summary'!C29</f>
        <v>#DIV/0!</v>
      </c>
      <c r="D119" s="162" t="e">
        <f>'Simulation Summary'!D29</f>
        <v>#DIV/0!</v>
      </c>
      <c r="E119" s="162" t="e">
        <f>'Simulation Summary'!E29</f>
        <v>#DIV/0!</v>
      </c>
      <c r="F119" s="159"/>
      <c r="G119" s="162">
        <f>'Simulation Summary'!F29</f>
        <v>0</v>
      </c>
      <c r="H119" s="162">
        <f>'Simulation Summary'!G29</f>
        <v>0</v>
      </c>
      <c r="I119" s="162">
        <f>'Simulation Summary'!H29</f>
        <v>0</v>
      </c>
      <c r="J119" s="163" t="e">
        <f>'Simulation Summary'!I29</f>
        <v>#DIV/0!</v>
      </c>
      <c r="K119" s="819" t="e">
        <f>'Simulation Summary'!J29</f>
        <v>#DIV/0!</v>
      </c>
      <c r="L119" s="820"/>
      <c r="M119" s="86"/>
    </row>
    <row r="120" spans="1:13" ht="15" customHeight="1" thickBot="1">
      <c r="A120" s="99"/>
      <c r="B120" s="164" t="s">
        <v>332</v>
      </c>
      <c r="C120" s="162" t="e">
        <f>'Simulation Summary'!C30</f>
        <v>#DIV/0!</v>
      </c>
      <c r="D120" s="162" t="e">
        <f>'Simulation Summary'!D30</f>
        <v>#DIV/0!</v>
      </c>
      <c r="E120" s="162" t="e">
        <f>'Simulation Summary'!E30</f>
        <v>#DIV/0!</v>
      </c>
      <c r="F120" s="159"/>
      <c r="G120" s="162">
        <f>'Simulation Summary'!F30</f>
        <v>0</v>
      </c>
      <c r="H120" s="162">
        <f>'Simulation Summary'!G30</f>
        <v>0</v>
      </c>
      <c r="I120" s="162">
        <f>'Simulation Summary'!H30</f>
        <v>0</v>
      </c>
      <c r="J120" s="163" t="e">
        <f>'Simulation Summary'!I30</f>
        <v>#DIV/0!</v>
      </c>
      <c r="K120" s="835" t="e">
        <f>'Simulation Summary'!J30</f>
        <v>#DIV/0!</v>
      </c>
      <c r="L120" s="836"/>
      <c r="M120" s="86"/>
    </row>
    <row r="121" spans="1:13" ht="13.5" thickBot="1">
      <c r="A121" s="99"/>
      <c r="B121" s="127"/>
      <c r="C121" s="103"/>
      <c r="D121" s="103"/>
      <c r="E121" s="103"/>
      <c r="F121" s="103"/>
      <c r="G121" s="103"/>
      <c r="H121" s="103"/>
      <c r="I121" s="103"/>
      <c r="J121" s="103"/>
      <c r="K121" s="103"/>
      <c r="L121" s="104"/>
      <c r="M121" s="86"/>
    </row>
    <row r="122" spans="1:13" ht="16.5" thickBot="1">
      <c r="A122" s="99"/>
      <c r="B122" s="100" t="s">
        <v>73</v>
      </c>
      <c r="L122" s="99"/>
      <c r="M122" s="86"/>
    </row>
    <row r="123" spans="1:12" ht="13.5" thickBot="1">
      <c r="A123" s="99"/>
      <c r="B123" s="165"/>
      <c r="C123" s="166" t="s">
        <v>241</v>
      </c>
      <c r="D123" s="159" t="s">
        <v>242</v>
      </c>
      <c r="E123" s="167"/>
      <c r="F123" s="168"/>
      <c r="G123" s="168"/>
      <c r="H123" s="168"/>
      <c r="I123" s="168"/>
      <c r="J123" s="168"/>
      <c r="K123" s="168"/>
      <c r="L123" s="169"/>
    </row>
    <row r="124" spans="1:12" ht="13.5" thickBot="1">
      <c r="A124" s="99"/>
      <c r="B124" s="165"/>
      <c r="C124" s="166" t="s">
        <v>369</v>
      </c>
      <c r="D124" s="159" t="s">
        <v>369</v>
      </c>
      <c r="E124" s="170"/>
      <c r="F124" s="171"/>
      <c r="G124" s="171"/>
      <c r="H124" s="171"/>
      <c r="I124" s="171"/>
      <c r="J124" s="171"/>
      <c r="K124" s="171"/>
      <c r="L124" s="172"/>
    </row>
    <row r="125" spans="1:12" ht="13.5" thickBot="1">
      <c r="A125" s="99"/>
      <c r="B125" s="129" t="s">
        <v>358</v>
      </c>
      <c r="C125" s="173">
        <f>'Simulation Summary'!C51</f>
        <v>0</v>
      </c>
      <c r="D125" s="162">
        <f>'Simulation Summary'!D51</f>
        <v>0</v>
      </c>
      <c r="E125" s="170"/>
      <c r="F125" s="171"/>
      <c r="G125" s="171"/>
      <c r="H125" s="171"/>
      <c r="I125" s="171"/>
      <c r="J125" s="171"/>
      <c r="K125" s="171"/>
      <c r="L125" s="172"/>
    </row>
    <row r="126" spans="1:12" ht="13.5" thickBot="1">
      <c r="A126" s="99"/>
      <c r="B126" s="129" t="s">
        <v>359</v>
      </c>
      <c r="C126" s="173">
        <f>'Simulation Summary'!C52</f>
        <v>0</v>
      </c>
      <c r="D126" s="162">
        <f>'Simulation Summary'!D52</f>
        <v>0</v>
      </c>
      <c r="E126" s="170"/>
      <c r="F126" s="171"/>
      <c r="G126" s="171"/>
      <c r="H126" s="171"/>
      <c r="I126" s="171"/>
      <c r="J126" s="171"/>
      <c r="K126" s="171"/>
      <c r="L126" s="172"/>
    </row>
    <row r="127" spans="1:12" ht="13.5" thickBot="1">
      <c r="A127" s="99"/>
      <c r="B127" s="129" t="s">
        <v>360</v>
      </c>
      <c r="C127" s="173">
        <f>'Simulation Summary'!C53</f>
        <v>0</v>
      </c>
      <c r="D127" s="162">
        <f>'Simulation Summary'!D53</f>
        <v>0</v>
      </c>
      <c r="E127" s="170"/>
      <c r="F127" s="171"/>
      <c r="G127" s="171"/>
      <c r="H127" s="171"/>
      <c r="I127" s="171"/>
      <c r="J127" s="171"/>
      <c r="K127" s="171"/>
      <c r="L127" s="172"/>
    </row>
    <row r="128" spans="1:12" ht="13.5" thickBot="1">
      <c r="A128" s="99"/>
      <c r="B128" s="129" t="s">
        <v>361</v>
      </c>
      <c r="C128" s="173">
        <f>'Simulation Summary'!C54</f>
        <v>0</v>
      </c>
      <c r="D128" s="162">
        <f>'Simulation Summary'!D54</f>
        <v>0</v>
      </c>
      <c r="E128" s="170"/>
      <c r="F128" s="171"/>
      <c r="G128" s="171"/>
      <c r="H128" s="171"/>
      <c r="I128" s="171"/>
      <c r="J128" s="171"/>
      <c r="K128" s="171"/>
      <c r="L128" s="172"/>
    </row>
    <row r="129" spans="1:12" ht="13.5" thickBot="1">
      <c r="A129" s="99"/>
      <c r="B129" s="129" t="s">
        <v>362</v>
      </c>
      <c r="C129" s="173">
        <f>'Simulation Summary'!C55</f>
        <v>0</v>
      </c>
      <c r="D129" s="162">
        <f>'Simulation Summary'!D55</f>
        <v>0</v>
      </c>
      <c r="E129" s="170"/>
      <c r="F129" s="171"/>
      <c r="G129" s="171"/>
      <c r="H129" s="171"/>
      <c r="I129" s="171"/>
      <c r="J129" s="171"/>
      <c r="K129" s="171"/>
      <c r="L129" s="172"/>
    </row>
    <row r="130" spans="1:12" ht="13.5" thickBot="1">
      <c r="A130" s="99"/>
      <c r="B130" s="129" t="s">
        <v>363</v>
      </c>
      <c r="C130" s="173">
        <f>'Simulation Summary'!C56</f>
        <v>0</v>
      </c>
      <c r="D130" s="162">
        <f>'Simulation Summary'!D56</f>
        <v>0</v>
      </c>
      <c r="E130" s="170"/>
      <c r="F130" s="171"/>
      <c r="G130" s="171"/>
      <c r="H130" s="171"/>
      <c r="I130" s="171"/>
      <c r="J130" s="171"/>
      <c r="K130" s="171"/>
      <c r="L130" s="172"/>
    </row>
    <row r="131" spans="1:12" ht="13.5" thickBot="1">
      <c r="A131" s="99"/>
      <c r="B131" s="164" t="s">
        <v>332</v>
      </c>
      <c r="C131" s="173">
        <f>'Simulation Summary'!C57</f>
        <v>0</v>
      </c>
      <c r="D131" s="162">
        <f>'Simulation Summary'!D57</f>
        <v>0</v>
      </c>
      <c r="E131" s="174"/>
      <c r="F131" s="175"/>
      <c r="G131" s="175"/>
      <c r="H131" s="175"/>
      <c r="I131" s="175"/>
      <c r="J131" s="175"/>
      <c r="K131" s="175"/>
      <c r="L131" s="176"/>
    </row>
    <row r="132" spans="1:12" ht="12.75">
      <c r="A132" s="99"/>
      <c r="B132" s="116"/>
      <c r="C132" s="116"/>
      <c r="D132" s="116"/>
      <c r="E132" s="116"/>
      <c r="F132" s="116"/>
      <c r="G132" s="116"/>
      <c r="H132" s="116"/>
      <c r="I132" s="116"/>
      <c r="J132" s="116"/>
      <c r="K132" s="116"/>
      <c r="L132" s="95"/>
    </row>
  </sheetData>
  <sheetProtection sheet="1" objects="1" scenarios="1"/>
  <mergeCells count="277">
    <mergeCell ref="K91:L91"/>
    <mergeCell ref="K92:L92"/>
    <mergeCell ref="K93:L93"/>
    <mergeCell ref="K95:L95"/>
    <mergeCell ref="K96:L96"/>
    <mergeCell ref="K97:L97"/>
    <mergeCell ref="K85:L85"/>
    <mergeCell ref="K86:L86"/>
    <mergeCell ref="K87:L87"/>
    <mergeCell ref="K88:L88"/>
    <mergeCell ref="K89:L89"/>
    <mergeCell ref="K90:L90"/>
    <mergeCell ref="I91:J91"/>
    <mergeCell ref="I92:J92"/>
    <mergeCell ref="I93:J93"/>
    <mergeCell ref="I95:J95"/>
    <mergeCell ref="I96:J96"/>
    <mergeCell ref="I97:J97"/>
    <mergeCell ref="I85:J85"/>
    <mergeCell ref="I86:J86"/>
    <mergeCell ref="I87:J87"/>
    <mergeCell ref="I88:J88"/>
    <mergeCell ref="I89:J89"/>
    <mergeCell ref="I90:J90"/>
    <mergeCell ref="B100:C100"/>
    <mergeCell ref="B97:C97"/>
    <mergeCell ref="B99:C99"/>
    <mergeCell ref="E99:F99"/>
    <mergeCell ref="B96:C96"/>
    <mergeCell ref="E92:F92"/>
    <mergeCell ref="B92:C92"/>
    <mergeCell ref="I102:L102"/>
    <mergeCell ref="I103:L103"/>
    <mergeCell ref="I104:L104"/>
    <mergeCell ref="B101:L101"/>
    <mergeCell ref="B104:C104"/>
    <mergeCell ref="B102:C102"/>
    <mergeCell ref="G103:H103"/>
    <mergeCell ref="B103:C103"/>
    <mergeCell ref="E75:G75"/>
    <mergeCell ref="I99:L99"/>
    <mergeCell ref="I100:L100"/>
    <mergeCell ref="G91:H91"/>
    <mergeCell ref="H71:L71"/>
    <mergeCell ref="H72:L72"/>
    <mergeCell ref="H73:L73"/>
    <mergeCell ref="H75:L75"/>
    <mergeCell ref="H76:L76"/>
    <mergeCell ref="H78:L78"/>
    <mergeCell ref="I83:J83"/>
    <mergeCell ref="K83:L83"/>
    <mergeCell ref="B66:C66"/>
    <mergeCell ref="H62:L62"/>
    <mergeCell ref="H63:L63"/>
    <mergeCell ref="E61:G61"/>
    <mergeCell ref="B58:C58"/>
    <mergeCell ref="B74:L74"/>
    <mergeCell ref="B72:C72"/>
    <mergeCell ref="H68:L68"/>
    <mergeCell ref="H70:L70"/>
    <mergeCell ref="B61:C61"/>
    <mergeCell ref="B65:C65"/>
    <mergeCell ref="B64:C64"/>
    <mergeCell ref="B54:C54"/>
    <mergeCell ref="B56:C56"/>
    <mergeCell ref="E56:G56"/>
    <mergeCell ref="H56:L56"/>
    <mergeCell ref="B55:L55"/>
    <mergeCell ref="E59:G59"/>
    <mergeCell ref="J58:L58"/>
    <mergeCell ref="E63:G63"/>
    <mergeCell ref="E73:G73"/>
    <mergeCell ref="B75:C75"/>
    <mergeCell ref="B69:L69"/>
    <mergeCell ref="H59:L59"/>
    <mergeCell ref="H60:L60"/>
    <mergeCell ref="H61:L61"/>
    <mergeCell ref="B71:C71"/>
    <mergeCell ref="B67:C67"/>
    <mergeCell ref="H64:L64"/>
    <mergeCell ref="H65:L65"/>
    <mergeCell ref="B53:C53"/>
    <mergeCell ref="B48:C48"/>
    <mergeCell ref="B26:C26"/>
    <mergeCell ref="G112:I112"/>
    <mergeCell ref="B7:C7"/>
    <mergeCell ref="B8:C8"/>
    <mergeCell ref="B9:C9"/>
    <mergeCell ref="B11:C11"/>
    <mergeCell ref="B28:C28"/>
    <mergeCell ref="B47:C47"/>
    <mergeCell ref="K112:L113"/>
    <mergeCell ref="B68:C68"/>
    <mergeCell ref="B62:C62"/>
    <mergeCell ref="E54:G54"/>
    <mergeCell ref="E57:G57"/>
    <mergeCell ref="B60:C60"/>
    <mergeCell ref="B91:C91"/>
    <mergeCell ref="B89:C89"/>
    <mergeCell ref="B78:C78"/>
    <mergeCell ref="E71:G71"/>
    <mergeCell ref="E62:G62"/>
    <mergeCell ref="B63:C63"/>
    <mergeCell ref="B57:C57"/>
    <mergeCell ref="H57:I57"/>
    <mergeCell ref="H58:I58"/>
    <mergeCell ref="B59:C59"/>
    <mergeCell ref="G22:H22"/>
    <mergeCell ref="G23:H23"/>
    <mergeCell ref="D24:F24"/>
    <mergeCell ref="B90:C90"/>
    <mergeCell ref="B88:C88"/>
    <mergeCell ref="H80:L80"/>
    <mergeCell ref="B77:L77"/>
    <mergeCell ref="H79:L79"/>
    <mergeCell ref="E86:F86"/>
    <mergeCell ref="E65:G65"/>
    <mergeCell ref="B40:D40"/>
    <mergeCell ref="B51:C51"/>
    <mergeCell ref="B45:C45"/>
    <mergeCell ref="E47:G47"/>
    <mergeCell ref="B42:D42"/>
    <mergeCell ref="B52:C52"/>
    <mergeCell ref="E49:G49"/>
    <mergeCell ref="B50:C50"/>
    <mergeCell ref="E51:G51"/>
    <mergeCell ref="H50:L50"/>
    <mergeCell ref="B34:F34"/>
    <mergeCell ref="D23:F23"/>
    <mergeCell ref="I15:L15"/>
    <mergeCell ref="B15:C15"/>
    <mergeCell ref="B20:C20"/>
    <mergeCell ref="D15:F15"/>
    <mergeCell ref="D21:F21"/>
    <mergeCell ref="D22:F22"/>
    <mergeCell ref="B16:C16"/>
    <mergeCell ref="I32:L32"/>
    <mergeCell ref="H47:L47"/>
    <mergeCell ref="H48:L48"/>
    <mergeCell ref="H49:L49"/>
    <mergeCell ref="G10:H10"/>
    <mergeCell ref="D11:F11"/>
    <mergeCell ref="B39:D39"/>
    <mergeCell ref="D20:F20"/>
    <mergeCell ref="G15:H15"/>
    <mergeCell ref="G17:H17"/>
    <mergeCell ref="D14:F14"/>
    <mergeCell ref="B14:C14"/>
    <mergeCell ref="B35:D35"/>
    <mergeCell ref="B31:C31"/>
    <mergeCell ref="G21:H21"/>
    <mergeCell ref="G14:H14"/>
    <mergeCell ref="D25:F25"/>
    <mergeCell ref="D26:F26"/>
    <mergeCell ref="D27:F27"/>
    <mergeCell ref="D28:F28"/>
    <mergeCell ref="E72:G72"/>
    <mergeCell ref="E78:G78"/>
    <mergeCell ref="B70:C70"/>
    <mergeCell ref="H51:L51"/>
    <mergeCell ref="H52:L52"/>
    <mergeCell ref="H53:L53"/>
    <mergeCell ref="B76:C76"/>
    <mergeCell ref="B73:C73"/>
    <mergeCell ref="E52:G52"/>
    <mergeCell ref="J57:L57"/>
    <mergeCell ref="B21:C21"/>
    <mergeCell ref="E50:G50"/>
    <mergeCell ref="B38:D38"/>
    <mergeCell ref="B37:D37"/>
    <mergeCell ref="B36:D36"/>
    <mergeCell ref="B32:C32"/>
    <mergeCell ref="B49:C49"/>
    <mergeCell ref="E45:G45"/>
    <mergeCell ref="E48:G48"/>
    <mergeCell ref="B41:D41"/>
    <mergeCell ref="D17:F17"/>
    <mergeCell ref="D16:F16"/>
    <mergeCell ref="I16:L16"/>
    <mergeCell ref="I17:L17"/>
    <mergeCell ref="E76:G76"/>
    <mergeCell ref="E60:G60"/>
    <mergeCell ref="F58:G58"/>
    <mergeCell ref="E64:G64"/>
    <mergeCell ref="E68:G68"/>
    <mergeCell ref="G16:H16"/>
    <mergeCell ref="E83:F83"/>
    <mergeCell ref="G83:H83"/>
    <mergeCell ref="B80:C80"/>
    <mergeCell ref="E80:G80"/>
    <mergeCell ref="E85:F85"/>
    <mergeCell ref="G86:H86"/>
    <mergeCell ref="B85:C85"/>
    <mergeCell ref="B84:L84"/>
    <mergeCell ref="B86:C86"/>
    <mergeCell ref="B17:C17"/>
    <mergeCell ref="B10:C10"/>
    <mergeCell ref="B30:C30"/>
    <mergeCell ref="B22:C22"/>
    <mergeCell ref="B25:C25"/>
    <mergeCell ref="G7:H7"/>
    <mergeCell ref="G8:H8"/>
    <mergeCell ref="D9:F9"/>
    <mergeCell ref="G9:H9"/>
    <mergeCell ref="D7:F7"/>
    <mergeCell ref="E87:F87"/>
    <mergeCell ref="G87:H87"/>
    <mergeCell ref="G99:H99"/>
    <mergeCell ref="E97:F97"/>
    <mergeCell ref="G93:H93"/>
    <mergeCell ref="B98:L98"/>
    <mergeCell ref="B94:L94"/>
    <mergeCell ref="B87:C87"/>
    <mergeCell ref="B95:C95"/>
    <mergeCell ref="G92:H92"/>
    <mergeCell ref="G88:H88"/>
    <mergeCell ref="G102:H102"/>
    <mergeCell ref="E90:F90"/>
    <mergeCell ref="E95:F95"/>
    <mergeCell ref="E89:F89"/>
    <mergeCell ref="G89:H89"/>
    <mergeCell ref="E93:F93"/>
    <mergeCell ref="G100:H100"/>
    <mergeCell ref="I14:L14"/>
    <mergeCell ref="E79:G79"/>
    <mergeCell ref="E103:F103"/>
    <mergeCell ref="E102:F102"/>
    <mergeCell ref="E96:F96"/>
    <mergeCell ref="E88:F88"/>
    <mergeCell ref="E91:F91"/>
    <mergeCell ref="G97:H97"/>
    <mergeCell ref="E100:F100"/>
    <mergeCell ref="G90:H90"/>
    <mergeCell ref="B2:L3"/>
    <mergeCell ref="I7:L7"/>
    <mergeCell ref="I8:L8"/>
    <mergeCell ref="I9:L9"/>
    <mergeCell ref="I10:L10"/>
    <mergeCell ref="I11:L11"/>
    <mergeCell ref="D8:F8"/>
    <mergeCell ref="G11:H11"/>
    <mergeCell ref="D10:F10"/>
    <mergeCell ref="K117:L117"/>
    <mergeCell ref="G24:H24"/>
    <mergeCell ref="K114:L114"/>
    <mergeCell ref="K115:L115"/>
    <mergeCell ref="E70:G70"/>
    <mergeCell ref="G104:H104"/>
    <mergeCell ref="G95:H95"/>
    <mergeCell ref="E53:G53"/>
    <mergeCell ref="C112:E112"/>
    <mergeCell ref="I24:L24"/>
    <mergeCell ref="K116:L116"/>
    <mergeCell ref="B93:C93"/>
    <mergeCell ref="E104:F104"/>
    <mergeCell ref="G85:H85"/>
    <mergeCell ref="G96:H96"/>
    <mergeCell ref="K120:L120"/>
    <mergeCell ref="I25:L25"/>
    <mergeCell ref="I26:L26"/>
    <mergeCell ref="I27:L27"/>
    <mergeCell ref="I28:L28"/>
    <mergeCell ref="H45:L45"/>
    <mergeCell ref="K118:L118"/>
    <mergeCell ref="J112:J113"/>
    <mergeCell ref="I30:L30"/>
    <mergeCell ref="I31:L31"/>
    <mergeCell ref="K119:L119"/>
    <mergeCell ref="G26:H26"/>
    <mergeCell ref="G27:H27"/>
    <mergeCell ref="G28:H28"/>
    <mergeCell ref="I20:L20"/>
    <mergeCell ref="I21:L21"/>
    <mergeCell ref="I22:L22"/>
    <mergeCell ref="I23:L23"/>
    <mergeCell ref="B46:L46"/>
    <mergeCell ref="H54:L54"/>
  </mergeCells>
  <dataValidations count="5">
    <dataValidation type="list" allowBlank="1" showInputMessage="1" showErrorMessage="1" sqref="D23:E25">
      <formula1>"Whole-building, unit-by-unit, mixed"</formula1>
    </dataValidation>
    <dataValidation type="list" allowBlank="1" showInputMessage="1" showErrorMessage="1" sqref="D7">
      <formula1>"Schematic Drawings, Working Drawings,Construction Contract Awarded, Currently Under Construction, Development Complete"</formula1>
    </dataValidation>
    <dataValidation type="list" allowBlank="1" showInputMessage="1" showErrorMessage="1" sqref="E65:L65 E61:L63">
      <formula1>$AJ$46:$AJ$48</formula1>
    </dataValidation>
    <dataValidation type="list" allowBlank="1" showInputMessage="1" showErrorMessage="1" sqref="J66 G66">
      <formula1>$AL$46:$AL$49</formula1>
    </dataValidation>
    <dataValidation type="list" allowBlank="1" showInputMessage="1" showErrorMessage="1" sqref="J67 G67">
      <formula1>$AM$46:$AM$48</formula1>
    </dataValidation>
  </dataValidations>
  <printOptions/>
  <pageMargins left="0.25" right="0.25" top="0.75" bottom="0.75" header="0.3" footer="0.3"/>
  <pageSetup fitToHeight="1" fitToWidth="1" horizontalDpi="400" verticalDpi="400" orientation="portrait" scale="37" r:id="rId1"/>
  <headerFooter alignWithMargins="0">
    <oddFooter>&amp;LEPA ENERGY STAR Multifamily High-Rise Program</oddFooter>
  </headerFooter>
  <rowBreaks count="3" manualBreakCount="3">
    <brk id="43" max="255" man="1"/>
    <brk id="80" max="10" man="1"/>
    <brk id="105" max="255" man="1"/>
  </rowBreaks>
  <ignoredErrors>
    <ignoredError sqref="I32" unlockedFormula="1"/>
  </ignoredErrors>
</worksheet>
</file>

<file path=xl/worksheets/sheet4.xml><?xml version="1.0" encoding="utf-8"?>
<worksheet xmlns="http://schemas.openxmlformats.org/spreadsheetml/2006/main" xmlns:r="http://schemas.openxmlformats.org/officeDocument/2006/relationships">
  <sheetPr>
    <tabColor rgb="FF0070C0"/>
    <pageSetUpPr fitToPage="1"/>
  </sheetPr>
  <dimension ref="A1:S154"/>
  <sheetViews>
    <sheetView zoomScalePageLayoutView="0" workbookViewId="0" topLeftCell="A1">
      <selection activeCell="B11" sqref="B11"/>
    </sheetView>
  </sheetViews>
  <sheetFormatPr defaultColWidth="9.140625" defaultRowHeight="12.75"/>
  <cols>
    <col min="1" max="1" width="3.00390625" style="35" bestFit="1" customWidth="1"/>
    <col min="2" max="2" width="16.28125" style="35" customWidth="1"/>
    <col min="3" max="3" width="15.7109375" style="35" customWidth="1"/>
    <col min="4" max="4" width="10.28125" style="35" customWidth="1"/>
    <col min="5" max="5" width="15.7109375" style="35" customWidth="1"/>
    <col min="6" max="6" width="9.00390625" style="35" customWidth="1"/>
    <col min="7" max="7" width="9.28125" style="35" customWidth="1"/>
    <col min="8" max="8" width="9.7109375" style="35" customWidth="1"/>
    <col min="9" max="9" width="7.28125" style="35" bestFit="1" customWidth="1"/>
    <col min="10" max="10" width="9.7109375" style="35" customWidth="1"/>
    <col min="11" max="11" width="10.28125" style="35" customWidth="1"/>
    <col min="12" max="12" width="8.7109375" style="35" bestFit="1" customWidth="1"/>
    <col min="13" max="13" width="8.57421875" style="35" customWidth="1"/>
    <col min="14" max="14" width="10.7109375" style="35" customWidth="1"/>
    <col min="15" max="15" width="9.7109375" style="35" customWidth="1"/>
    <col min="16" max="16" width="12.421875" style="35" customWidth="1"/>
    <col min="17" max="16384" width="9.140625" style="35" customWidth="1"/>
  </cols>
  <sheetData>
    <row r="1" spans="1:15" ht="15">
      <c r="A1" s="207"/>
      <c r="B1" s="82" t="s">
        <v>402</v>
      </c>
      <c r="C1" s="208"/>
      <c r="D1" s="208"/>
      <c r="E1" s="208"/>
      <c r="F1" s="208"/>
      <c r="G1" s="208"/>
      <c r="H1" s="208"/>
      <c r="I1" s="208"/>
      <c r="J1" s="208"/>
      <c r="K1" s="208"/>
      <c r="L1" s="208"/>
      <c r="M1" s="208"/>
      <c r="N1" s="208"/>
      <c r="O1" s="208"/>
    </row>
    <row r="2" spans="1:15" ht="12.75">
      <c r="A2" s="209">
        <v>1</v>
      </c>
      <c r="B2" s="208" t="s">
        <v>30</v>
      </c>
      <c r="C2" s="208"/>
      <c r="D2" s="208"/>
      <c r="E2" s="208"/>
      <c r="F2" s="208"/>
      <c r="G2" s="208"/>
      <c r="H2" s="208"/>
      <c r="I2" s="208"/>
      <c r="J2" s="208"/>
      <c r="K2" s="208"/>
      <c r="L2" s="208"/>
      <c r="M2" s="208"/>
      <c r="N2" s="208"/>
      <c r="O2" s="208"/>
    </row>
    <row r="3" spans="1:15" ht="12.75">
      <c r="A3" s="209">
        <v>2</v>
      </c>
      <c r="B3" s="209" t="s">
        <v>776</v>
      </c>
      <c r="C3" s="208"/>
      <c r="D3" s="208"/>
      <c r="E3" s="208"/>
      <c r="F3" s="208"/>
      <c r="G3" s="208"/>
      <c r="H3" s="208"/>
      <c r="I3" s="208"/>
      <c r="J3" s="208"/>
      <c r="K3" s="208"/>
      <c r="L3" s="208"/>
      <c r="M3" s="208"/>
      <c r="N3" s="208"/>
      <c r="O3" s="208"/>
    </row>
    <row r="4" spans="1:15" ht="12.75">
      <c r="A4" s="209"/>
      <c r="B4" s="209"/>
      <c r="C4" s="208"/>
      <c r="D4" s="208"/>
      <c r="E4" s="208"/>
      <c r="F4" s="208"/>
      <c r="G4" s="208"/>
      <c r="H4" s="208"/>
      <c r="I4" s="208"/>
      <c r="J4" s="208"/>
      <c r="K4" s="208"/>
      <c r="L4" s="208"/>
      <c r="M4" s="208"/>
      <c r="N4" s="208"/>
      <c r="O4" s="208"/>
    </row>
    <row r="5" spans="1:16" ht="12.75">
      <c r="A5" s="208"/>
      <c r="B5" s="208" t="s">
        <v>433</v>
      </c>
      <c r="C5" s="210">
        <v>0.03</v>
      </c>
      <c r="D5" s="208"/>
      <c r="E5" s="208"/>
      <c r="F5" s="208"/>
      <c r="G5" s="208"/>
      <c r="H5" s="208"/>
      <c r="I5" s="208"/>
      <c r="J5" s="208"/>
      <c r="K5" s="208"/>
      <c r="L5" s="208"/>
      <c r="M5" s="208"/>
      <c r="N5" s="208"/>
      <c r="O5" s="208"/>
      <c r="P5" s="36"/>
    </row>
    <row r="6" spans="1:16" ht="12.75">
      <c r="A6" s="208"/>
      <c r="B6" s="208"/>
      <c r="C6" s="208"/>
      <c r="D6" s="208"/>
      <c r="E6" s="208"/>
      <c r="F6" s="208"/>
      <c r="G6" s="208"/>
      <c r="H6" s="208"/>
      <c r="I6" s="208"/>
      <c r="J6" s="208"/>
      <c r="K6" s="208"/>
      <c r="L6" s="208"/>
      <c r="M6" s="208"/>
      <c r="N6" s="208"/>
      <c r="O6" s="208"/>
      <c r="P6" s="36"/>
    </row>
    <row r="7" spans="1:16" ht="25.5" customHeight="1" thickBot="1">
      <c r="A7" s="211" t="s">
        <v>450</v>
      </c>
      <c r="B7" s="211"/>
      <c r="C7" s="211"/>
      <c r="D7" s="211"/>
      <c r="E7" s="211"/>
      <c r="F7" s="211"/>
      <c r="G7" s="211"/>
      <c r="H7" s="211"/>
      <c r="I7" s="211"/>
      <c r="J7" s="211"/>
      <c r="K7" s="211"/>
      <c r="L7" s="211"/>
      <c r="M7" s="211"/>
      <c r="N7" s="211"/>
      <c r="O7" s="211"/>
      <c r="P7" s="37"/>
    </row>
    <row r="8" spans="1:16" s="39" customFormat="1" ht="26.25" customHeight="1">
      <c r="A8" s="212"/>
      <c r="B8" s="213"/>
      <c r="C8" s="214" t="s">
        <v>434</v>
      </c>
      <c r="D8" s="215"/>
      <c r="E8" s="214" t="s">
        <v>435</v>
      </c>
      <c r="F8" s="215"/>
      <c r="G8" s="216"/>
      <c r="H8" s="215"/>
      <c r="I8" s="215"/>
      <c r="J8" s="215" t="s">
        <v>436</v>
      </c>
      <c r="K8" s="215"/>
      <c r="L8" s="215"/>
      <c r="M8" s="215"/>
      <c r="N8" s="1048" t="s">
        <v>437</v>
      </c>
      <c r="O8" s="1043" t="s">
        <v>438</v>
      </c>
      <c r="P8" s="38"/>
    </row>
    <row r="9" spans="1:17" s="39" customFormat="1" ht="25.5">
      <c r="A9" s="217"/>
      <c r="B9" s="218" t="s">
        <v>642</v>
      </c>
      <c r="C9" s="219" t="s">
        <v>439</v>
      </c>
      <c r="D9" s="218" t="s">
        <v>440</v>
      </c>
      <c r="E9" s="219" t="s">
        <v>439</v>
      </c>
      <c r="F9" s="218" t="s">
        <v>441</v>
      </c>
      <c r="G9" s="220" t="s">
        <v>442</v>
      </c>
      <c r="H9" s="1046" t="s">
        <v>443</v>
      </c>
      <c r="I9" s="1047"/>
      <c r="J9" s="221" t="s">
        <v>444</v>
      </c>
      <c r="K9" s="222" t="s">
        <v>445</v>
      </c>
      <c r="L9" s="223" t="s">
        <v>446</v>
      </c>
      <c r="M9" s="224" t="s">
        <v>447</v>
      </c>
      <c r="N9" s="1049"/>
      <c r="O9" s="1044"/>
      <c r="P9" s="38"/>
      <c r="Q9" s="739"/>
    </row>
    <row r="10" spans="1:16" s="39" customFormat="1" ht="13.5" thickBot="1">
      <c r="A10" s="225"/>
      <c r="B10" s="226"/>
      <c r="C10" s="226"/>
      <c r="D10" s="227"/>
      <c r="E10" s="228"/>
      <c r="F10" s="227"/>
      <c r="G10" s="229" t="s">
        <v>448</v>
      </c>
      <c r="H10" s="230" t="s">
        <v>449</v>
      </c>
      <c r="I10" s="231" t="s">
        <v>83</v>
      </c>
      <c r="J10" s="232"/>
      <c r="K10" s="233" t="s">
        <v>85</v>
      </c>
      <c r="L10" s="233" t="s">
        <v>448</v>
      </c>
      <c r="M10" s="234"/>
      <c r="N10" s="1050"/>
      <c r="O10" s="1045"/>
      <c r="P10" s="38"/>
    </row>
    <row r="11" spans="1:16" s="42" customFormat="1" ht="26.25" customHeight="1" thickTop="1">
      <c r="A11" s="235">
        <v>1</v>
      </c>
      <c r="B11" s="236">
        <f>'Results from eQUEST'!J28</f>
        <v>0</v>
      </c>
      <c r="C11" s="40"/>
      <c r="D11" s="41"/>
      <c r="E11" s="40"/>
      <c r="F11" s="41"/>
      <c r="G11" s="53"/>
      <c r="H11" s="237">
        <f>IF(B11=0,0,('Results from eQUEST'!BJ27-'Results from eQUEST'!BJ28)/10)</f>
        <v>0</v>
      </c>
      <c r="I11" s="238">
        <f>IF(B11=0,0,'Results from eQUEST'!X27-'Results from eQUEST'!X28)</f>
        <v>0</v>
      </c>
      <c r="J11" s="239">
        <f aca="true" t="shared" si="0" ref="J11:J23">F11-D11</f>
        <v>0</v>
      </c>
      <c r="K11" s="240">
        <f>I11*'Simulation Summary'!$C$17+H11*'Simulation Summary'!$C$18*10</f>
        <v>0</v>
      </c>
      <c r="L11" s="241">
        <f aca="true" t="shared" si="1" ref="L11:L16">IF(K11&gt;0,J11/K11,0)</f>
        <v>0</v>
      </c>
      <c r="M11" s="242">
        <f aca="true" t="shared" si="2" ref="M11:M16">IF(K11&gt;0,-PV($C$5,G11,K11)/J11,0)</f>
        <v>0</v>
      </c>
      <c r="N11" s="243">
        <f>(M11-1)*J11</f>
        <v>0</v>
      </c>
      <c r="O11" s="244">
        <f>G11*K11</f>
        <v>0</v>
      </c>
      <c r="P11" s="36"/>
    </row>
    <row r="12" spans="1:19" s="42" customFormat="1" ht="26.25" customHeight="1">
      <c r="A12" s="235">
        <v>2</v>
      </c>
      <c r="B12" s="236">
        <f>'Results from eQUEST'!J29</f>
        <v>0</v>
      </c>
      <c r="C12" s="40"/>
      <c r="D12" s="41"/>
      <c r="E12" s="40"/>
      <c r="F12" s="41"/>
      <c r="G12" s="53"/>
      <c r="H12" s="237">
        <f>IF(B12=0,0,('Results from eQUEST'!BJ28-'Results from eQUEST'!BJ29)/10)</f>
        <v>0</v>
      </c>
      <c r="I12" s="238">
        <f>IF(B12=0,0,'Results from eQUEST'!X28-'Results from eQUEST'!X29)</f>
        <v>0</v>
      </c>
      <c r="J12" s="239">
        <f t="shared" si="0"/>
        <v>0</v>
      </c>
      <c r="K12" s="240">
        <f>I12*'Simulation Summary'!$C$17+H12*'Simulation Summary'!$C$18*10</f>
        <v>0</v>
      </c>
      <c r="L12" s="241">
        <f t="shared" si="1"/>
        <v>0</v>
      </c>
      <c r="M12" s="245">
        <f t="shared" si="2"/>
        <v>0</v>
      </c>
      <c r="N12" s="243">
        <f aca="true" t="shared" si="3" ref="N12:N23">(M12-1)*J12</f>
        <v>0</v>
      </c>
      <c r="O12" s="244">
        <f aca="true" t="shared" si="4" ref="O12:O23">G12*K12</f>
        <v>0</v>
      </c>
      <c r="P12" s="36"/>
      <c r="S12" s="740"/>
    </row>
    <row r="13" spans="1:16" s="42" customFormat="1" ht="26.25" customHeight="1">
      <c r="A13" s="235">
        <v>3</v>
      </c>
      <c r="B13" s="236">
        <f>'Results from eQUEST'!J30</f>
        <v>0</v>
      </c>
      <c r="C13" s="40"/>
      <c r="D13" s="41"/>
      <c r="E13" s="40"/>
      <c r="F13" s="41"/>
      <c r="G13" s="53"/>
      <c r="H13" s="237">
        <f>IF(B13=0,0,('Results from eQUEST'!BJ29-'Results from eQUEST'!BJ30)/10)</f>
        <v>0</v>
      </c>
      <c r="I13" s="238">
        <f>IF(B13=0,0,'Results from eQUEST'!X29-'Results from eQUEST'!X30)</f>
        <v>0</v>
      </c>
      <c r="J13" s="239">
        <f t="shared" si="0"/>
        <v>0</v>
      </c>
      <c r="K13" s="240">
        <f>I13*'Simulation Summary'!$C$17+H13*'Simulation Summary'!$C$18*10</f>
        <v>0</v>
      </c>
      <c r="L13" s="241">
        <f t="shared" si="1"/>
        <v>0</v>
      </c>
      <c r="M13" s="245">
        <f t="shared" si="2"/>
        <v>0</v>
      </c>
      <c r="N13" s="243">
        <f t="shared" si="3"/>
        <v>0</v>
      </c>
      <c r="O13" s="244">
        <f t="shared" si="4"/>
        <v>0</v>
      </c>
      <c r="P13" s="36"/>
    </row>
    <row r="14" spans="1:16" s="42" customFormat="1" ht="26.25" customHeight="1">
      <c r="A14" s="235">
        <v>4</v>
      </c>
      <c r="B14" s="236">
        <f>'Results from eQUEST'!J31</f>
        <v>0</v>
      </c>
      <c r="C14" s="40"/>
      <c r="D14" s="41"/>
      <c r="E14" s="40"/>
      <c r="F14" s="41"/>
      <c r="G14" s="53"/>
      <c r="H14" s="237">
        <f>IF(B14=0,0,('Results from eQUEST'!BJ30-'Results from eQUEST'!BJ31)/10)</f>
        <v>0</v>
      </c>
      <c r="I14" s="238">
        <f>IF(B14=0,0,'Results from eQUEST'!X30-'Results from eQUEST'!X31)</f>
        <v>0</v>
      </c>
      <c r="J14" s="239">
        <f t="shared" si="0"/>
        <v>0</v>
      </c>
      <c r="K14" s="240">
        <f>I14*'Simulation Summary'!$C$17+H14*'Simulation Summary'!$C$18*10</f>
        <v>0</v>
      </c>
      <c r="L14" s="241">
        <f t="shared" si="1"/>
        <v>0</v>
      </c>
      <c r="M14" s="245">
        <f t="shared" si="2"/>
        <v>0</v>
      </c>
      <c r="N14" s="243">
        <f t="shared" si="3"/>
        <v>0</v>
      </c>
      <c r="O14" s="244">
        <f t="shared" si="4"/>
        <v>0</v>
      </c>
      <c r="P14" s="36"/>
    </row>
    <row r="15" spans="1:16" s="42" customFormat="1" ht="26.25" customHeight="1">
      <c r="A15" s="235">
        <v>5</v>
      </c>
      <c r="B15" s="236">
        <f>'Results from eQUEST'!J32</f>
        <v>0</v>
      </c>
      <c r="C15" s="40"/>
      <c r="D15" s="41"/>
      <c r="E15" s="40"/>
      <c r="F15" s="41"/>
      <c r="G15" s="53"/>
      <c r="H15" s="237">
        <f>IF(B15=0,0,('Results from eQUEST'!BJ31-'Results from eQUEST'!BJ32)/10)</f>
        <v>0</v>
      </c>
      <c r="I15" s="238">
        <f>IF(B15=0,0,'Results from eQUEST'!X31-'Results from eQUEST'!X32)</f>
        <v>0</v>
      </c>
      <c r="J15" s="239">
        <f t="shared" si="0"/>
        <v>0</v>
      </c>
      <c r="K15" s="240">
        <f>I15*'Simulation Summary'!$C$17+H15*'Simulation Summary'!$C$18*10</f>
        <v>0</v>
      </c>
      <c r="L15" s="241">
        <f t="shared" si="1"/>
        <v>0</v>
      </c>
      <c r="M15" s="245">
        <f t="shared" si="2"/>
        <v>0</v>
      </c>
      <c r="N15" s="243">
        <f t="shared" si="3"/>
        <v>0</v>
      </c>
      <c r="O15" s="244">
        <f t="shared" si="4"/>
        <v>0</v>
      </c>
      <c r="P15" s="36"/>
    </row>
    <row r="16" spans="1:16" s="42" customFormat="1" ht="26.25" customHeight="1">
      <c r="A16" s="235">
        <v>6</v>
      </c>
      <c r="B16" s="236">
        <f>'Results from eQUEST'!J33</f>
        <v>0</v>
      </c>
      <c r="C16" s="40"/>
      <c r="D16" s="41"/>
      <c r="E16" s="40"/>
      <c r="F16" s="41"/>
      <c r="G16" s="53"/>
      <c r="H16" s="237">
        <f>IF(B16=0,0,('Results from eQUEST'!BJ32-'Results from eQUEST'!BJ33)/10)</f>
        <v>0</v>
      </c>
      <c r="I16" s="238">
        <f>IF(B16=0,0,'Results from eQUEST'!X32-'Results from eQUEST'!X33)</f>
        <v>0</v>
      </c>
      <c r="J16" s="239">
        <f t="shared" si="0"/>
        <v>0</v>
      </c>
      <c r="K16" s="240">
        <f>I16*'Simulation Summary'!$C$17+H16*'Simulation Summary'!$C$18*10</f>
        <v>0</v>
      </c>
      <c r="L16" s="241">
        <f t="shared" si="1"/>
        <v>0</v>
      </c>
      <c r="M16" s="246">
        <f t="shared" si="2"/>
        <v>0</v>
      </c>
      <c r="N16" s="243">
        <f t="shared" si="3"/>
        <v>0</v>
      </c>
      <c r="O16" s="244">
        <f t="shared" si="4"/>
        <v>0</v>
      </c>
      <c r="P16" s="36"/>
    </row>
    <row r="17" spans="1:16" s="42" customFormat="1" ht="26.25" customHeight="1">
      <c r="A17" s="235">
        <v>7</v>
      </c>
      <c r="B17" s="236">
        <f>'Results from eQUEST'!J34</f>
        <v>0</v>
      </c>
      <c r="C17" s="40"/>
      <c r="D17" s="41"/>
      <c r="E17" s="40"/>
      <c r="F17" s="41"/>
      <c r="G17" s="53"/>
      <c r="H17" s="237">
        <f>IF(B17=0,0,('Results from eQUEST'!BJ33-'Results from eQUEST'!BJ34)/10)</f>
        <v>0</v>
      </c>
      <c r="I17" s="238">
        <f>IF(B17=0,0,'Results from eQUEST'!X33-'Results from eQUEST'!X34)</f>
        <v>0</v>
      </c>
      <c r="J17" s="239">
        <f t="shared" si="0"/>
        <v>0</v>
      </c>
      <c r="K17" s="240">
        <f>I17*'Simulation Summary'!$C$17+H17*'Simulation Summary'!$C$18*10</f>
        <v>0</v>
      </c>
      <c r="L17" s="241">
        <f aca="true" t="shared" si="5" ref="L17:L31">IF(K17&gt;0,J17/K17,0)</f>
        <v>0</v>
      </c>
      <c r="M17" s="245">
        <f aca="true" t="shared" si="6" ref="M17:M31">IF(K17&gt;0,-PV($C$5,G17,K17)/J17,0)</f>
        <v>0</v>
      </c>
      <c r="N17" s="243">
        <f t="shared" si="3"/>
        <v>0</v>
      </c>
      <c r="O17" s="244">
        <f t="shared" si="4"/>
        <v>0</v>
      </c>
      <c r="P17" s="36"/>
    </row>
    <row r="18" spans="1:16" s="42" customFormat="1" ht="26.25" customHeight="1">
      <c r="A18" s="235">
        <v>8</v>
      </c>
      <c r="B18" s="236">
        <f>'Results from eQUEST'!J35</f>
        <v>0</v>
      </c>
      <c r="C18" s="40"/>
      <c r="D18" s="41"/>
      <c r="E18" s="40"/>
      <c r="F18" s="41"/>
      <c r="G18" s="53"/>
      <c r="H18" s="237">
        <f>IF(B18=0,0,('Results from eQUEST'!BJ34-'Results from eQUEST'!BJ35)/10)</f>
        <v>0</v>
      </c>
      <c r="I18" s="238">
        <f>IF(B18=0,0,'Results from eQUEST'!X34-'Results from eQUEST'!X35)</f>
        <v>0</v>
      </c>
      <c r="J18" s="239">
        <f t="shared" si="0"/>
        <v>0</v>
      </c>
      <c r="K18" s="240">
        <f>I18*'Simulation Summary'!$C$17+H18*'Simulation Summary'!$C$18*10</f>
        <v>0</v>
      </c>
      <c r="L18" s="241">
        <f t="shared" si="5"/>
        <v>0</v>
      </c>
      <c r="M18" s="245">
        <f t="shared" si="6"/>
        <v>0</v>
      </c>
      <c r="N18" s="243">
        <f t="shared" si="3"/>
        <v>0</v>
      </c>
      <c r="O18" s="244">
        <f t="shared" si="4"/>
        <v>0</v>
      </c>
      <c r="P18" s="36"/>
    </row>
    <row r="19" spans="1:16" s="42" customFormat="1" ht="26.25" customHeight="1">
      <c r="A19" s="235">
        <v>9</v>
      </c>
      <c r="B19" s="236">
        <f>'Results from eQUEST'!J36</f>
        <v>0</v>
      </c>
      <c r="C19" s="40"/>
      <c r="D19" s="41"/>
      <c r="E19" s="40"/>
      <c r="F19" s="41"/>
      <c r="G19" s="53"/>
      <c r="H19" s="237">
        <f>IF(B19=0,0,('Results from eQUEST'!BJ35-'Results from eQUEST'!BJ36)/10)</f>
        <v>0</v>
      </c>
      <c r="I19" s="238">
        <f>IF(B19=0,0,'Results from eQUEST'!X35-'Results from eQUEST'!X36)</f>
        <v>0</v>
      </c>
      <c r="J19" s="239">
        <f t="shared" si="0"/>
        <v>0</v>
      </c>
      <c r="K19" s="240">
        <f>I19*'Simulation Summary'!$C$17+H19*'Simulation Summary'!$C$18*10</f>
        <v>0</v>
      </c>
      <c r="L19" s="241">
        <f t="shared" si="5"/>
        <v>0</v>
      </c>
      <c r="M19" s="245">
        <f t="shared" si="6"/>
        <v>0</v>
      </c>
      <c r="N19" s="243">
        <f t="shared" si="3"/>
        <v>0</v>
      </c>
      <c r="O19" s="244">
        <f t="shared" si="4"/>
        <v>0</v>
      </c>
      <c r="P19" s="36"/>
    </row>
    <row r="20" spans="1:16" s="42" customFormat="1" ht="26.25" customHeight="1">
      <c r="A20" s="235">
        <v>10</v>
      </c>
      <c r="B20" s="236">
        <f>'Results from eQUEST'!J37</f>
        <v>0</v>
      </c>
      <c r="C20" s="40"/>
      <c r="D20" s="41"/>
      <c r="E20" s="40"/>
      <c r="F20" s="41"/>
      <c r="G20" s="53"/>
      <c r="H20" s="237">
        <f>IF(B20=0,0,('Results from eQUEST'!BJ36-'Results from eQUEST'!BJ37)/10)</f>
        <v>0</v>
      </c>
      <c r="I20" s="238">
        <f>IF(B20=0,0,'Results from eQUEST'!X36-'Results from eQUEST'!X37)</f>
        <v>0</v>
      </c>
      <c r="J20" s="239">
        <f t="shared" si="0"/>
        <v>0</v>
      </c>
      <c r="K20" s="240">
        <f>I20*'Simulation Summary'!$C$17+H20*'Simulation Summary'!$C$18*10</f>
        <v>0</v>
      </c>
      <c r="L20" s="241">
        <f t="shared" si="5"/>
        <v>0</v>
      </c>
      <c r="M20" s="246">
        <f t="shared" si="6"/>
        <v>0</v>
      </c>
      <c r="N20" s="243">
        <f t="shared" si="3"/>
        <v>0</v>
      </c>
      <c r="O20" s="244">
        <f t="shared" si="4"/>
        <v>0</v>
      </c>
      <c r="P20" s="36"/>
    </row>
    <row r="21" spans="1:16" s="42" customFormat="1" ht="26.25" customHeight="1">
      <c r="A21" s="235">
        <v>11</v>
      </c>
      <c r="B21" s="236">
        <f>'Results from eQUEST'!J38</f>
        <v>0</v>
      </c>
      <c r="C21" s="40"/>
      <c r="D21" s="41"/>
      <c r="E21" s="40"/>
      <c r="F21" s="41"/>
      <c r="G21" s="53"/>
      <c r="H21" s="237">
        <f>IF(B21=0,0,('Results from eQUEST'!BJ37-'Results from eQUEST'!BJ38)/10)</f>
        <v>0</v>
      </c>
      <c r="I21" s="238">
        <f>IF(B21=0,0,'Results from eQUEST'!X37-'Results from eQUEST'!X38)</f>
        <v>0</v>
      </c>
      <c r="J21" s="239">
        <f t="shared" si="0"/>
        <v>0</v>
      </c>
      <c r="K21" s="240">
        <f>I21*'Simulation Summary'!$C$17+H21*'Simulation Summary'!$C$18*10</f>
        <v>0</v>
      </c>
      <c r="L21" s="241">
        <f t="shared" si="5"/>
        <v>0</v>
      </c>
      <c r="M21" s="245">
        <f t="shared" si="6"/>
        <v>0</v>
      </c>
      <c r="N21" s="243">
        <f t="shared" si="3"/>
        <v>0</v>
      </c>
      <c r="O21" s="244">
        <f t="shared" si="4"/>
        <v>0</v>
      </c>
      <c r="P21" s="36"/>
    </row>
    <row r="22" spans="1:16" s="42" customFormat="1" ht="26.25" customHeight="1">
      <c r="A22" s="235">
        <v>12</v>
      </c>
      <c r="B22" s="236">
        <f>'Results from eQUEST'!J39</f>
        <v>0</v>
      </c>
      <c r="C22" s="43"/>
      <c r="D22" s="44"/>
      <c r="E22" s="43"/>
      <c r="F22" s="44"/>
      <c r="G22" s="55"/>
      <c r="H22" s="237">
        <f>IF(B22=0,0,('Results from eQUEST'!BJ38-'Results from eQUEST'!BJ39)/10)</f>
        <v>0</v>
      </c>
      <c r="I22" s="238">
        <f>IF(B22=0,0,'Results from eQUEST'!X38-'Results from eQUEST'!X39)</f>
        <v>0</v>
      </c>
      <c r="J22" s="239">
        <f t="shared" si="0"/>
        <v>0</v>
      </c>
      <c r="K22" s="240">
        <f>I22*'Simulation Summary'!$C$17+H22*'Simulation Summary'!$C$18*10</f>
        <v>0</v>
      </c>
      <c r="L22" s="241">
        <f t="shared" si="5"/>
        <v>0</v>
      </c>
      <c r="M22" s="245">
        <f t="shared" si="6"/>
        <v>0</v>
      </c>
      <c r="N22" s="243">
        <f t="shared" si="3"/>
        <v>0</v>
      </c>
      <c r="O22" s="244">
        <f t="shared" si="4"/>
        <v>0</v>
      </c>
      <c r="P22" s="36"/>
    </row>
    <row r="23" spans="1:16" s="42" customFormat="1" ht="26.25" customHeight="1">
      <c r="A23" s="235">
        <v>13</v>
      </c>
      <c r="B23" s="236">
        <f>'Results from eQUEST'!J40</f>
        <v>0</v>
      </c>
      <c r="C23" s="45"/>
      <c r="D23" s="46"/>
      <c r="E23" s="45"/>
      <c r="F23" s="46"/>
      <c r="G23" s="56"/>
      <c r="H23" s="237">
        <f>IF(B23=0,0,('Results from eQUEST'!BJ39-'Results from eQUEST'!BJ40)/10)</f>
        <v>0</v>
      </c>
      <c r="I23" s="238">
        <f>IF(B23=0,0,'Results from eQUEST'!X39-'Results from eQUEST'!X40)</f>
        <v>0</v>
      </c>
      <c r="J23" s="247">
        <f t="shared" si="0"/>
        <v>0</v>
      </c>
      <c r="K23" s="240">
        <f>I23*'Simulation Summary'!$C$17+H23*'Simulation Summary'!$C$18*10</f>
        <v>0</v>
      </c>
      <c r="L23" s="241">
        <f t="shared" si="5"/>
        <v>0</v>
      </c>
      <c r="M23" s="245">
        <f t="shared" si="6"/>
        <v>0</v>
      </c>
      <c r="N23" s="243">
        <f t="shared" si="3"/>
        <v>0</v>
      </c>
      <c r="O23" s="244">
        <f t="shared" si="4"/>
        <v>0</v>
      </c>
      <c r="P23" s="36"/>
    </row>
    <row r="24" spans="1:16" s="42" customFormat="1" ht="26.25" customHeight="1">
      <c r="A24" s="235">
        <v>14</v>
      </c>
      <c r="B24" s="236">
        <f>'Results from eQUEST'!J41</f>
        <v>0</v>
      </c>
      <c r="C24" s="45"/>
      <c r="D24" s="46"/>
      <c r="E24" s="45"/>
      <c r="F24" s="46"/>
      <c r="G24" s="56"/>
      <c r="H24" s="237">
        <f>IF(B24=0,0,('Results from eQUEST'!BJ40-'Results from eQUEST'!BJ41)/10)</f>
        <v>0</v>
      </c>
      <c r="I24" s="238">
        <f>IF(B24=0,0,'Results from eQUEST'!X40-'Results from eQUEST'!X41)</f>
        <v>0</v>
      </c>
      <c r="J24" s="247">
        <f aca="true" t="shared" si="7" ref="J24:J31">F24-D24</f>
        <v>0</v>
      </c>
      <c r="K24" s="240">
        <f>I24*'Simulation Summary'!$C$17+H24*'Simulation Summary'!$C$18*10</f>
        <v>0</v>
      </c>
      <c r="L24" s="241">
        <f t="shared" si="5"/>
        <v>0</v>
      </c>
      <c r="M24" s="245">
        <f t="shared" si="6"/>
        <v>0</v>
      </c>
      <c r="N24" s="243">
        <f aca="true" t="shared" si="8" ref="N24:N31">(M24-1)*J24</f>
        <v>0</v>
      </c>
      <c r="O24" s="244">
        <f aca="true" t="shared" si="9" ref="O24:O31">G24*K24</f>
        <v>0</v>
      </c>
      <c r="P24" s="36"/>
    </row>
    <row r="25" spans="1:16" s="42" customFormat="1" ht="26.25" customHeight="1">
      <c r="A25" s="235">
        <v>15</v>
      </c>
      <c r="B25" s="236">
        <f>'Results from eQUEST'!J42</f>
        <v>0</v>
      </c>
      <c r="C25" s="45"/>
      <c r="D25" s="46"/>
      <c r="E25" s="45"/>
      <c r="F25" s="46"/>
      <c r="G25" s="56"/>
      <c r="H25" s="237">
        <f>IF(B25=0,0,('Results from eQUEST'!BJ41-'Results from eQUEST'!BJ42)/10)</f>
        <v>0</v>
      </c>
      <c r="I25" s="238">
        <f>IF(B25=0,0,'Results from eQUEST'!X41-'Results from eQUEST'!X42)</f>
        <v>0</v>
      </c>
      <c r="J25" s="247">
        <f t="shared" si="7"/>
        <v>0</v>
      </c>
      <c r="K25" s="240">
        <f>I25*'Simulation Summary'!$C$17+H25*'Simulation Summary'!$C$18*10</f>
        <v>0</v>
      </c>
      <c r="L25" s="241">
        <f t="shared" si="5"/>
        <v>0</v>
      </c>
      <c r="M25" s="245">
        <f t="shared" si="6"/>
        <v>0</v>
      </c>
      <c r="N25" s="243">
        <f t="shared" si="8"/>
        <v>0</v>
      </c>
      <c r="O25" s="244">
        <f t="shared" si="9"/>
        <v>0</v>
      </c>
      <c r="P25" s="36"/>
    </row>
    <row r="26" spans="1:16" s="42" customFormat="1" ht="26.25" customHeight="1">
      <c r="A26" s="235">
        <v>16</v>
      </c>
      <c r="B26" s="236">
        <f>'Results from eQUEST'!J43</f>
        <v>0</v>
      </c>
      <c r="C26" s="45"/>
      <c r="D26" s="46"/>
      <c r="E26" s="45"/>
      <c r="F26" s="46"/>
      <c r="G26" s="56"/>
      <c r="H26" s="237">
        <f>IF(B26=0,0,('Results from eQUEST'!BJ42-'Results from eQUEST'!BJ43)/10)</f>
        <v>0</v>
      </c>
      <c r="I26" s="238">
        <f>IF(B26=0,0,'Results from eQUEST'!X42-'Results from eQUEST'!X43)</f>
        <v>0</v>
      </c>
      <c r="J26" s="247">
        <f t="shared" si="7"/>
        <v>0</v>
      </c>
      <c r="K26" s="240">
        <f>I26*'Simulation Summary'!$C$17+H26*'Simulation Summary'!$C$18*10</f>
        <v>0</v>
      </c>
      <c r="L26" s="241">
        <f t="shared" si="5"/>
        <v>0</v>
      </c>
      <c r="M26" s="245">
        <f t="shared" si="6"/>
        <v>0</v>
      </c>
      <c r="N26" s="243">
        <f t="shared" si="8"/>
        <v>0</v>
      </c>
      <c r="O26" s="244">
        <f t="shared" si="9"/>
        <v>0</v>
      </c>
      <c r="P26" s="36"/>
    </row>
    <row r="27" spans="1:16" s="42" customFormat="1" ht="26.25" customHeight="1">
      <c r="A27" s="235">
        <v>17</v>
      </c>
      <c r="B27" s="236">
        <f>'Results from eQUEST'!J44</f>
        <v>0</v>
      </c>
      <c r="C27" s="45"/>
      <c r="D27" s="46"/>
      <c r="E27" s="45"/>
      <c r="F27" s="46"/>
      <c r="G27" s="56"/>
      <c r="H27" s="237">
        <f>IF(B27=0,0,('Results from eQUEST'!BJ43-'Results from eQUEST'!BJ44)/10)</f>
        <v>0</v>
      </c>
      <c r="I27" s="238">
        <f>IF(B27=0,0,'Results from eQUEST'!X43-'Results from eQUEST'!X44)</f>
        <v>0</v>
      </c>
      <c r="J27" s="247">
        <f t="shared" si="7"/>
        <v>0</v>
      </c>
      <c r="K27" s="240">
        <f>I27*'Simulation Summary'!$C$17+H27*'Simulation Summary'!$C$18*10</f>
        <v>0</v>
      </c>
      <c r="L27" s="241">
        <f t="shared" si="5"/>
        <v>0</v>
      </c>
      <c r="M27" s="246">
        <f t="shared" si="6"/>
        <v>0</v>
      </c>
      <c r="N27" s="243">
        <f t="shared" si="8"/>
        <v>0</v>
      </c>
      <c r="O27" s="244">
        <f t="shared" si="9"/>
        <v>0</v>
      </c>
      <c r="P27" s="36"/>
    </row>
    <row r="28" spans="1:16" s="42" customFormat="1" ht="26.25" customHeight="1">
      <c r="A28" s="235">
        <v>18</v>
      </c>
      <c r="B28" s="236">
        <f>'Results from eQUEST'!J45</f>
        <v>0</v>
      </c>
      <c r="C28" s="45"/>
      <c r="D28" s="46"/>
      <c r="E28" s="45"/>
      <c r="F28" s="46"/>
      <c r="G28" s="56"/>
      <c r="H28" s="237">
        <f>IF(B28=0,0,('Results from eQUEST'!BJ44-'Results from eQUEST'!BJ45)/10)</f>
        <v>0</v>
      </c>
      <c r="I28" s="238">
        <f>IF(B28=0,0,'Results from eQUEST'!X44-'Results from eQUEST'!X45)</f>
        <v>0</v>
      </c>
      <c r="J28" s="247">
        <f t="shared" si="7"/>
        <v>0</v>
      </c>
      <c r="K28" s="240">
        <f>I28*'Simulation Summary'!$C$17+H28*'Simulation Summary'!$C$18*10</f>
        <v>0</v>
      </c>
      <c r="L28" s="241">
        <f t="shared" si="5"/>
        <v>0</v>
      </c>
      <c r="M28" s="245">
        <f t="shared" si="6"/>
        <v>0</v>
      </c>
      <c r="N28" s="243">
        <f t="shared" si="8"/>
        <v>0</v>
      </c>
      <c r="O28" s="244">
        <f t="shared" si="9"/>
        <v>0</v>
      </c>
      <c r="P28" s="36"/>
    </row>
    <row r="29" spans="1:16" s="42" customFormat="1" ht="26.25" customHeight="1">
      <c r="A29" s="235">
        <v>19</v>
      </c>
      <c r="B29" s="236">
        <f>'Results from eQUEST'!J46</f>
        <v>0</v>
      </c>
      <c r="C29" s="45"/>
      <c r="D29" s="46"/>
      <c r="E29" s="45"/>
      <c r="F29" s="46"/>
      <c r="G29" s="56"/>
      <c r="H29" s="237">
        <f>IF(B29=0,0,('Results from eQUEST'!BJ45-'Results from eQUEST'!BJ46)/10)</f>
        <v>0</v>
      </c>
      <c r="I29" s="238">
        <f>IF(B29=0,0,'Results from eQUEST'!X45-'Results from eQUEST'!X46)</f>
        <v>0</v>
      </c>
      <c r="J29" s="247">
        <f t="shared" si="7"/>
        <v>0</v>
      </c>
      <c r="K29" s="240">
        <f>I29*'Simulation Summary'!$C$17+H29*'Simulation Summary'!$C$18*10</f>
        <v>0</v>
      </c>
      <c r="L29" s="241">
        <f t="shared" si="5"/>
        <v>0</v>
      </c>
      <c r="M29" s="245">
        <f t="shared" si="6"/>
        <v>0</v>
      </c>
      <c r="N29" s="243">
        <f t="shared" si="8"/>
        <v>0</v>
      </c>
      <c r="O29" s="244">
        <f t="shared" si="9"/>
        <v>0</v>
      </c>
      <c r="P29" s="36"/>
    </row>
    <row r="30" spans="1:16" s="42" customFormat="1" ht="26.25" customHeight="1">
      <c r="A30" s="235">
        <v>20</v>
      </c>
      <c r="B30" s="236">
        <f>'Results from eQUEST'!J47</f>
        <v>0</v>
      </c>
      <c r="C30" s="45"/>
      <c r="D30" s="46"/>
      <c r="E30" s="45"/>
      <c r="F30" s="46"/>
      <c r="G30" s="56"/>
      <c r="H30" s="237">
        <f>IF(B30=0,0,('Results from eQUEST'!BJ46-'Results from eQUEST'!BJ47)/10)</f>
        <v>0</v>
      </c>
      <c r="I30" s="238">
        <f>IF(B30=0,0,'Results from eQUEST'!X46-'Results from eQUEST'!X47)</f>
        <v>0</v>
      </c>
      <c r="J30" s="247">
        <f t="shared" si="7"/>
        <v>0</v>
      </c>
      <c r="K30" s="240">
        <f>I30*'Simulation Summary'!$C$17+H30*'Simulation Summary'!$C$18*10</f>
        <v>0</v>
      </c>
      <c r="L30" s="241">
        <f t="shared" si="5"/>
        <v>0</v>
      </c>
      <c r="M30" s="246">
        <f t="shared" si="6"/>
        <v>0</v>
      </c>
      <c r="N30" s="243">
        <f t="shared" si="8"/>
        <v>0</v>
      </c>
      <c r="O30" s="244">
        <f t="shared" si="9"/>
        <v>0</v>
      </c>
      <c r="P30" s="36"/>
    </row>
    <row r="31" spans="1:16" s="42" customFormat="1" ht="26.25" customHeight="1" thickBot="1">
      <c r="A31" s="235">
        <v>21</v>
      </c>
      <c r="B31" s="248">
        <f>'Results from eQUEST'!J48</f>
        <v>0</v>
      </c>
      <c r="C31" s="57"/>
      <c r="D31" s="58"/>
      <c r="E31" s="57"/>
      <c r="F31" s="58"/>
      <c r="G31" s="54"/>
      <c r="H31" s="249">
        <f>IF(B31=0,0,('Results from eQUEST'!BJ47-'Results from eQUEST'!BJ48)/10)</f>
        <v>0</v>
      </c>
      <c r="I31" s="250">
        <f>IF(B31=0,0,'Results from eQUEST'!X47-'Results from eQUEST'!X48)</f>
        <v>0</v>
      </c>
      <c r="J31" s="251">
        <f t="shared" si="7"/>
        <v>0</v>
      </c>
      <c r="K31" s="240">
        <f>I31*'Simulation Summary'!$C$17+H31*'Simulation Summary'!$C$18*10</f>
        <v>0</v>
      </c>
      <c r="L31" s="241">
        <f t="shared" si="5"/>
        <v>0</v>
      </c>
      <c r="M31" s="252">
        <f t="shared" si="6"/>
        <v>0</v>
      </c>
      <c r="N31" s="243">
        <f t="shared" si="8"/>
        <v>0</v>
      </c>
      <c r="O31" s="244">
        <f t="shared" si="9"/>
        <v>0</v>
      </c>
      <c r="P31" s="36"/>
    </row>
    <row r="32" spans="1:16" s="42" customFormat="1" ht="15" customHeight="1" thickBot="1" thickTop="1">
      <c r="A32" s="253"/>
      <c r="B32" s="254"/>
      <c r="C32" s="254"/>
      <c r="D32" s="254"/>
      <c r="E32" s="254"/>
      <c r="F32" s="254"/>
      <c r="G32" s="254"/>
      <c r="H32" s="254"/>
      <c r="I32" s="254"/>
      <c r="J32" s="254"/>
      <c r="K32" s="255"/>
      <c r="L32" s="255"/>
      <c r="M32" s="255"/>
      <c r="N32" s="255"/>
      <c r="O32" s="256"/>
      <c r="P32" s="36"/>
    </row>
    <row r="33" spans="1:16" ht="14.25" thickBot="1" thickTop="1">
      <c r="A33" s="257"/>
      <c r="B33" s="208"/>
      <c r="C33" s="258"/>
      <c r="D33" s="258"/>
      <c r="E33" s="258"/>
      <c r="F33" s="258"/>
      <c r="G33" s="208"/>
      <c r="H33" s="259">
        <f>SUM(H11:H32)</f>
        <v>0</v>
      </c>
      <c r="I33" s="259">
        <f>SUM(I11:I32)</f>
        <v>0</v>
      </c>
      <c r="J33" s="260"/>
      <c r="K33" s="261">
        <f>SUM(K11:K32)</f>
        <v>0</v>
      </c>
      <c r="L33" s="262"/>
      <c r="M33" s="263"/>
      <c r="N33" s="264">
        <f>SUM(N11:N32)</f>
        <v>0</v>
      </c>
      <c r="O33" s="265" t="e">
        <f>SUM(O11:O32)/K33</f>
        <v>#DIV/0!</v>
      </c>
      <c r="P33" s="36"/>
    </row>
    <row r="34" spans="1:16" s="36" customFormat="1" ht="13.5" thickBot="1">
      <c r="A34" s="258"/>
      <c r="B34" s="258"/>
      <c r="C34" s="258"/>
      <c r="D34" s="258"/>
      <c r="E34" s="258"/>
      <c r="F34" s="258"/>
      <c r="G34" s="258"/>
      <c r="H34" s="258"/>
      <c r="I34" s="258"/>
      <c r="J34" s="266">
        <f>SUM(J11:J32)</f>
        <v>0</v>
      </c>
      <c r="K34" s="267"/>
      <c r="L34" s="268" t="e">
        <f>J34/K33</f>
        <v>#DIV/0!</v>
      </c>
      <c r="M34" s="269" t="e">
        <f>N34/J34+1</f>
        <v>#DIV/0!</v>
      </c>
      <c r="N34" s="270">
        <f>N33</f>
        <v>0</v>
      </c>
      <c r="O34" s="258"/>
      <c r="P34" s="47"/>
    </row>
    <row r="35" spans="1:16" s="36" customFormat="1" ht="12.75">
      <c r="A35" s="258"/>
      <c r="B35" s="258"/>
      <c r="C35" s="258"/>
      <c r="D35" s="258"/>
      <c r="E35" s="258"/>
      <c r="F35" s="258"/>
      <c r="G35" s="258"/>
      <c r="H35" s="258"/>
      <c r="I35" s="258"/>
      <c r="J35" s="271"/>
      <c r="K35" s="272"/>
      <c r="L35" s="272"/>
      <c r="M35" s="273"/>
      <c r="N35" s="273"/>
      <c r="O35" s="258"/>
      <c r="P35" s="47"/>
    </row>
    <row r="36" spans="1:16" s="36" customFormat="1" ht="12.75">
      <c r="A36" s="258"/>
      <c r="B36" s="258"/>
      <c r="C36" s="258"/>
      <c r="D36" s="258"/>
      <c r="E36" s="258"/>
      <c r="F36" s="258"/>
      <c r="G36" s="258"/>
      <c r="H36" s="258"/>
      <c r="I36" s="258"/>
      <c r="J36" s="271"/>
      <c r="K36" s="272"/>
      <c r="L36" s="272"/>
      <c r="M36" s="272"/>
      <c r="N36" s="258"/>
      <c r="O36" s="258"/>
      <c r="P36" s="47"/>
    </row>
    <row r="37" spans="1:15" s="49" customFormat="1" ht="12.75">
      <c r="A37" s="274"/>
      <c r="B37" s="274"/>
      <c r="C37" s="274"/>
      <c r="D37" s="274"/>
      <c r="E37" s="274"/>
      <c r="F37" s="274"/>
      <c r="G37" s="274"/>
      <c r="H37" s="274"/>
      <c r="I37" s="274"/>
      <c r="J37" s="271"/>
      <c r="K37" s="275"/>
      <c r="L37" s="275"/>
      <c r="M37" s="275"/>
      <c r="N37" s="274"/>
      <c r="O37" s="274"/>
    </row>
    <row r="38" spans="1:16" s="49" customFormat="1" ht="20.25">
      <c r="A38" s="276"/>
      <c r="B38" s="276"/>
      <c r="C38" s="276"/>
      <c r="D38" s="276"/>
      <c r="E38" s="276"/>
      <c r="F38" s="276"/>
      <c r="G38" s="276"/>
      <c r="H38" s="276"/>
      <c r="I38" s="276"/>
      <c r="J38" s="276"/>
      <c r="K38" s="276"/>
      <c r="L38" s="276"/>
      <c r="M38" s="276"/>
      <c r="N38" s="276"/>
      <c r="O38" s="276"/>
      <c r="P38" s="50"/>
    </row>
    <row r="39" spans="1:15" s="49" customFormat="1" ht="12.75" customHeight="1">
      <c r="A39" s="277"/>
      <c r="B39" s="277"/>
      <c r="C39" s="278"/>
      <c r="D39" s="278"/>
      <c r="E39" s="278"/>
      <c r="F39" s="278"/>
      <c r="G39" s="278"/>
      <c r="H39" s="278"/>
      <c r="I39" s="278"/>
      <c r="J39" s="274"/>
      <c r="K39" s="278"/>
      <c r="L39" s="278"/>
      <c r="M39" s="278"/>
      <c r="N39" s="279"/>
      <c r="O39" s="279"/>
    </row>
    <row r="40" spans="1:15" s="49" customFormat="1" ht="12.75">
      <c r="A40" s="280"/>
      <c r="B40" s="280"/>
      <c r="C40" s="281"/>
      <c r="D40" s="280"/>
      <c r="E40" s="281"/>
      <c r="F40" s="280"/>
      <c r="G40" s="282"/>
      <c r="H40" s="279"/>
      <c r="I40" s="279"/>
      <c r="J40" s="280"/>
      <c r="K40" s="283"/>
      <c r="L40" s="284"/>
      <c r="M40" s="284"/>
      <c r="N40" s="279"/>
      <c r="O40" s="279"/>
    </row>
    <row r="41" spans="1:15" s="49" customFormat="1" ht="12.75">
      <c r="A41" s="281"/>
      <c r="B41" s="281"/>
      <c r="C41" s="281"/>
      <c r="D41" s="280"/>
      <c r="E41" s="281"/>
      <c r="F41" s="280"/>
      <c r="G41" s="285"/>
      <c r="H41" s="280"/>
      <c r="I41" s="280"/>
      <c r="J41" s="279"/>
      <c r="K41" s="285"/>
      <c r="L41" s="285"/>
      <c r="M41" s="286"/>
      <c r="N41" s="279"/>
      <c r="O41" s="279"/>
    </row>
    <row r="42" spans="1:16" s="48" customFormat="1" ht="26.25" customHeight="1">
      <c r="A42" s="287"/>
      <c r="B42" s="287"/>
      <c r="C42" s="287"/>
      <c r="D42" s="288"/>
      <c r="E42" s="287"/>
      <c r="F42" s="288"/>
      <c r="G42" s="289"/>
      <c r="H42" s="290"/>
      <c r="I42" s="290"/>
      <c r="J42" s="288"/>
      <c r="K42" s="288"/>
      <c r="L42" s="291"/>
      <c r="M42" s="292"/>
      <c r="N42" s="288"/>
      <c r="O42" s="288"/>
      <c r="P42" s="49"/>
    </row>
    <row r="43" spans="1:16" s="48" customFormat="1" ht="26.25" customHeight="1">
      <c r="A43" s="287"/>
      <c r="B43" s="287"/>
      <c r="C43" s="287"/>
      <c r="D43" s="288"/>
      <c r="E43" s="287"/>
      <c r="F43" s="288"/>
      <c r="G43" s="289"/>
      <c r="H43" s="290"/>
      <c r="I43" s="290"/>
      <c r="J43" s="288"/>
      <c r="K43" s="288"/>
      <c r="L43" s="291"/>
      <c r="M43" s="292"/>
      <c r="N43" s="288"/>
      <c r="O43" s="288"/>
      <c r="P43" s="49"/>
    </row>
    <row r="44" spans="1:16" s="48" customFormat="1" ht="26.25" customHeight="1">
      <c r="A44" s="287"/>
      <c r="B44" s="287"/>
      <c r="C44" s="287"/>
      <c r="D44" s="288"/>
      <c r="E44" s="287"/>
      <c r="F44" s="288"/>
      <c r="G44" s="289"/>
      <c r="H44" s="290"/>
      <c r="I44" s="290"/>
      <c r="J44" s="288"/>
      <c r="K44" s="288"/>
      <c r="L44" s="291"/>
      <c r="M44" s="292"/>
      <c r="N44" s="288"/>
      <c r="O44" s="288"/>
      <c r="P44" s="49"/>
    </row>
    <row r="45" spans="1:16" s="48" customFormat="1" ht="26.25" customHeight="1">
      <c r="A45" s="287"/>
      <c r="B45" s="287"/>
      <c r="C45" s="287"/>
      <c r="D45" s="288"/>
      <c r="E45" s="287"/>
      <c r="F45" s="288"/>
      <c r="G45" s="289"/>
      <c r="H45" s="290"/>
      <c r="I45" s="290"/>
      <c r="J45" s="288"/>
      <c r="K45" s="288"/>
      <c r="L45" s="291"/>
      <c r="M45" s="292"/>
      <c r="N45" s="288"/>
      <c r="O45" s="288"/>
      <c r="P45" s="49"/>
    </row>
    <row r="46" spans="1:16" s="48" customFormat="1" ht="26.25" customHeight="1">
      <c r="A46" s="287"/>
      <c r="B46" s="287"/>
      <c r="C46" s="287"/>
      <c r="D46" s="288"/>
      <c r="E46" s="287"/>
      <c r="F46" s="288"/>
      <c r="G46" s="289"/>
      <c r="H46" s="290"/>
      <c r="I46" s="290"/>
      <c r="J46" s="288"/>
      <c r="K46" s="288"/>
      <c r="L46" s="291"/>
      <c r="M46" s="292"/>
      <c r="N46" s="288"/>
      <c r="O46" s="288"/>
      <c r="P46" s="49"/>
    </row>
    <row r="47" spans="1:16" s="48" customFormat="1" ht="26.25" customHeight="1">
      <c r="A47" s="287"/>
      <c r="B47" s="287"/>
      <c r="C47" s="287"/>
      <c r="D47" s="288"/>
      <c r="E47" s="287"/>
      <c r="F47" s="288"/>
      <c r="G47" s="289"/>
      <c r="H47" s="290"/>
      <c r="I47" s="290"/>
      <c r="J47" s="288"/>
      <c r="K47" s="288"/>
      <c r="L47" s="291"/>
      <c r="M47" s="292"/>
      <c r="N47" s="288"/>
      <c r="O47" s="288"/>
      <c r="P47" s="49"/>
    </row>
    <row r="48" spans="1:16" s="48" customFormat="1" ht="26.25" customHeight="1">
      <c r="A48" s="287"/>
      <c r="B48" s="287"/>
      <c r="C48" s="287"/>
      <c r="D48" s="288"/>
      <c r="E48" s="287"/>
      <c r="F48" s="288"/>
      <c r="G48" s="289"/>
      <c r="H48" s="290"/>
      <c r="I48" s="290"/>
      <c r="J48" s="288"/>
      <c r="K48" s="288"/>
      <c r="L48" s="291"/>
      <c r="M48" s="292"/>
      <c r="N48" s="288"/>
      <c r="O48" s="288"/>
      <c r="P48" s="49"/>
    </row>
    <row r="49" spans="1:16" s="48" customFormat="1" ht="26.25" customHeight="1">
      <c r="A49" s="287"/>
      <c r="B49" s="287"/>
      <c r="C49" s="287"/>
      <c r="D49" s="288"/>
      <c r="E49" s="287"/>
      <c r="F49" s="288"/>
      <c r="G49" s="289"/>
      <c r="H49" s="290"/>
      <c r="I49" s="290"/>
      <c r="J49" s="288"/>
      <c r="K49" s="288"/>
      <c r="L49" s="291"/>
      <c r="M49" s="292"/>
      <c r="N49" s="288"/>
      <c r="O49" s="288"/>
      <c r="P49" s="49"/>
    </row>
    <row r="50" spans="1:16" s="48" customFormat="1" ht="26.25" customHeight="1">
      <c r="A50" s="287"/>
      <c r="B50" s="287"/>
      <c r="C50" s="287"/>
      <c r="D50" s="288"/>
      <c r="E50" s="287"/>
      <c r="F50" s="288"/>
      <c r="G50" s="289"/>
      <c r="H50" s="290"/>
      <c r="I50" s="290"/>
      <c r="J50" s="288"/>
      <c r="K50" s="288"/>
      <c r="L50" s="291"/>
      <c r="M50" s="292"/>
      <c r="N50" s="288"/>
      <c r="O50" s="288"/>
      <c r="P50" s="49"/>
    </row>
    <row r="51" spans="1:16" s="48" customFormat="1" ht="26.25" customHeight="1">
      <c r="A51" s="287"/>
      <c r="B51" s="287"/>
      <c r="C51" s="287"/>
      <c r="D51" s="288"/>
      <c r="E51" s="287"/>
      <c r="F51" s="288"/>
      <c r="G51" s="289"/>
      <c r="H51" s="290"/>
      <c r="I51" s="290"/>
      <c r="J51" s="288"/>
      <c r="K51" s="288"/>
      <c r="L51" s="291"/>
      <c r="M51" s="292"/>
      <c r="N51" s="288"/>
      <c r="O51" s="288"/>
      <c r="P51" s="49"/>
    </row>
    <row r="52" spans="1:16" s="48" customFormat="1" ht="26.25" customHeight="1">
      <c r="A52" s="287"/>
      <c r="B52" s="287"/>
      <c r="C52" s="287"/>
      <c r="D52" s="288"/>
      <c r="E52" s="287"/>
      <c r="F52" s="288"/>
      <c r="G52" s="289"/>
      <c r="H52" s="290"/>
      <c r="I52" s="290"/>
      <c r="J52" s="288"/>
      <c r="K52" s="288"/>
      <c r="L52" s="291"/>
      <c r="M52" s="292"/>
      <c r="N52" s="288"/>
      <c r="O52" s="288"/>
      <c r="P52" s="49"/>
    </row>
    <row r="53" spans="1:16" s="48" customFormat="1" ht="26.25" customHeight="1">
      <c r="A53" s="287"/>
      <c r="B53" s="287"/>
      <c r="C53" s="287"/>
      <c r="D53" s="288"/>
      <c r="E53" s="287"/>
      <c r="F53" s="288"/>
      <c r="G53" s="289"/>
      <c r="H53" s="290"/>
      <c r="I53" s="290"/>
      <c r="J53" s="288"/>
      <c r="K53" s="288"/>
      <c r="L53" s="291"/>
      <c r="M53" s="292"/>
      <c r="N53" s="288"/>
      <c r="O53" s="288"/>
      <c r="P53" s="49"/>
    </row>
    <row r="54" spans="1:16" s="48" customFormat="1" ht="26.25" customHeight="1">
      <c r="A54" s="287"/>
      <c r="B54" s="287"/>
      <c r="C54" s="287"/>
      <c r="D54" s="288"/>
      <c r="E54" s="287"/>
      <c r="F54" s="288"/>
      <c r="G54" s="289"/>
      <c r="H54" s="290"/>
      <c r="I54" s="290"/>
      <c r="J54" s="288"/>
      <c r="K54" s="288"/>
      <c r="L54" s="291"/>
      <c r="M54" s="292"/>
      <c r="N54" s="288"/>
      <c r="O54" s="288"/>
      <c r="P54" s="49"/>
    </row>
    <row r="55" spans="1:16" s="48" customFormat="1" ht="26.25" customHeight="1">
      <c r="A55" s="287"/>
      <c r="B55" s="287"/>
      <c r="C55" s="287"/>
      <c r="D55" s="288"/>
      <c r="E55" s="287"/>
      <c r="F55" s="288"/>
      <c r="G55" s="289"/>
      <c r="H55" s="290"/>
      <c r="I55" s="290"/>
      <c r="J55" s="288"/>
      <c r="K55" s="288"/>
      <c r="L55" s="291"/>
      <c r="M55" s="292"/>
      <c r="N55" s="288"/>
      <c r="O55" s="288"/>
      <c r="P55" s="49"/>
    </row>
    <row r="56" spans="1:16" s="48" customFormat="1" ht="14.25" customHeight="1">
      <c r="A56" s="293"/>
      <c r="B56" s="293"/>
      <c r="C56" s="293"/>
      <c r="D56" s="293"/>
      <c r="E56" s="293"/>
      <c r="F56" s="293"/>
      <c r="G56" s="293"/>
      <c r="H56" s="293"/>
      <c r="I56" s="293"/>
      <c r="J56" s="293"/>
      <c r="K56" s="293"/>
      <c r="L56" s="293"/>
      <c r="M56" s="293"/>
      <c r="N56" s="288"/>
      <c r="O56" s="294"/>
      <c r="P56" s="49"/>
    </row>
    <row r="57" spans="1:16" s="48" customFormat="1" ht="12.75">
      <c r="A57" s="295"/>
      <c r="B57" s="295"/>
      <c r="C57" s="274"/>
      <c r="D57" s="274"/>
      <c r="E57" s="274"/>
      <c r="F57" s="274"/>
      <c r="G57" s="295"/>
      <c r="H57" s="296"/>
      <c r="I57" s="296"/>
      <c r="J57" s="293"/>
      <c r="K57" s="297"/>
      <c r="L57" s="291"/>
      <c r="M57" s="292"/>
      <c r="N57" s="288"/>
      <c r="O57" s="294"/>
      <c r="P57" s="49"/>
    </row>
    <row r="58" spans="1:16" s="48" customFormat="1" ht="12.75">
      <c r="A58" s="295"/>
      <c r="B58" s="295"/>
      <c r="C58" s="274"/>
      <c r="D58" s="274"/>
      <c r="E58" s="274"/>
      <c r="F58" s="274"/>
      <c r="G58" s="295"/>
      <c r="H58" s="296"/>
      <c r="I58" s="296"/>
      <c r="J58" s="297"/>
      <c r="K58" s="297"/>
      <c r="L58" s="291"/>
      <c r="M58" s="292"/>
      <c r="N58" s="298"/>
      <c r="O58" s="274"/>
      <c r="P58" s="49"/>
    </row>
    <row r="59" spans="1:16" s="48" customFormat="1" ht="12.75">
      <c r="A59" s="295"/>
      <c r="B59" s="295"/>
      <c r="C59" s="274"/>
      <c r="D59" s="274"/>
      <c r="E59" s="274"/>
      <c r="F59" s="274"/>
      <c r="G59" s="295"/>
      <c r="H59" s="299"/>
      <c r="I59" s="299"/>
      <c r="J59" s="297"/>
      <c r="K59" s="299"/>
      <c r="L59" s="299"/>
      <c r="M59" s="299"/>
      <c r="N59" s="298"/>
      <c r="O59" s="274"/>
      <c r="P59" s="49"/>
    </row>
    <row r="60" spans="1:16" s="48" customFormat="1" ht="12.75">
      <c r="A60" s="295"/>
      <c r="B60" s="295"/>
      <c r="C60" s="274"/>
      <c r="D60" s="274"/>
      <c r="E60" s="274"/>
      <c r="F60" s="274"/>
      <c r="G60" s="295"/>
      <c r="H60" s="299"/>
      <c r="I60" s="299"/>
      <c r="J60" s="297"/>
      <c r="K60" s="299"/>
      <c r="L60" s="299"/>
      <c r="M60" s="299"/>
      <c r="N60" s="298"/>
      <c r="O60" s="274"/>
      <c r="P60" s="49"/>
    </row>
    <row r="61" spans="1:16" s="48" customFormat="1" ht="12.75">
      <c r="A61" s="295"/>
      <c r="B61" s="295"/>
      <c r="C61" s="274"/>
      <c r="D61" s="274"/>
      <c r="E61" s="274"/>
      <c r="F61" s="274"/>
      <c r="G61" s="295"/>
      <c r="H61" s="295"/>
      <c r="I61" s="299"/>
      <c r="J61" s="297"/>
      <c r="K61" s="299"/>
      <c r="L61" s="299"/>
      <c r="M61" s="299"/>
      <c r="N61" s="300"/>
      <c r="O61" s="274"/>
      <c r="P61" s="49"/>
    </row>
    <row r="62" spans="1:16" s="48" customFormat="1" ht="12.75">
      <c r="A62" s="274"/>
      <c r="B62" s="274"/>
      <c r="C62" s="274"/>
      <c r="D62" s="274"/>
      <c r="E62" s="274"/>
      <c r="F62" s="274"/>
      <c r="G62" s="295"/>
      <c r="H62" s="275"/>
      <c r="I62" s="275"/>
      <c r="J62" s="271"/>
      <c r="K62" s="275"/>
      <c r="L62" s="301"/>
      <c r="M62" s="301"/>
      <c r="N62" s="302"/>
      <c r="O62" s="274"/>
      <c r="P62" s="49"/>
    </row>
    <row r="63" spans="1:16" s="48" customFormat="1" ht="12.75" hidden="1">
      <c r="A63" s="295"/>
      <c r="B63" s="295"/>
      <c r="C63" s="274"/>
      <c r="D63" s="274"/>
      <c r="E63" s="274"/>
      <c r="F63" s="274"/>
      <c r="G63" s="274"/>
      <c r="H63" s="274"/>
      <c r="I63" s="274"/>
      <c r="J63" s="274"/>
      <c r="K63" s="274"/>
      <c r="L63" s="274"/>
      <c r="M63" s="274"/>
      <c r="N63" s="274"/>
      <c r="O63" s="274"/>
      <c r="P63" s="49"/>
    </row>
    <row r="64" spans="1:16" s="52" customFormat="1" ht="24.75" customHeight="1" hidden="1" thickBot="1">
      <c r="A64" s="295"/>
      <c r="B64" s="303"/>
      <c r="C64" s="287"/>
      <c r="D64" s="287"/>
      <c r="E64" s="287"/>
      <c r="F64" s="304"/>
      <c r="G64" s="304"/>
      <c r="H64" s="304"/>
      <c r="I64" s="303"/>
      <c r="J64" s="304"/>
      <c r="K64" s="304"/>
      <c r="L64" s="287"/>
      <c r="M64" s="287"/>
      <c r="N64" s="287"/>
      <c r="O64" s="287"/>
      <c r="P64" s="51"/>
    </row>
    <row r="65" spans="1:16" s="52" customFormat="1" ht="24.75" customHeight="1" hidden="1" thickBot="1">
      <c r="A65" s="303"/>
      <c r="B65" s="303"/>
      <c r="C65" s="287"/>
      <c r="D65" s="287"/>
      <c r="E65" s="287"/>
      <c r="F65" s="304"/>
      <c r="G65" s="304"/>
      <c r="H65" s="304"/>
      <c r="I65" s="303"/>
      <c r="J65" s="304"/>
      <c r="K65" s="304"/>
      <c r="L65" s="287"/>
      <c r="M65" s="287"/>
      <c r="N65" s="287"/>
      <c r="O65" s="287"/>
      <c r="P65" s="51"/>
    </row>
    <row r="66" spans="1:16" s="52" customFormat="1" ht="12.75" hidden="1">
      <c r="A66" s="303"/>
      <c r="B66" s="303"/>
      <c r="C66" s="287"/>
      <c r="D66" s="287"/>
      <c r="E66" s="287"/>
      <c r="F66" s="287"/>
      <c r="G66" s="304"/>
      <c r="H66" s="304"/>
      <c r="I66" s="303"/>
      <c r="J66" s="304"/>
      <c r="K66" s="304"/>
      <c r="L66" s="287"/>
      <c r="M66" s="287"/>
      <c r="N66" s="287"/>
      <c r="O66" s="287"/>
      <c r="P66" s="51"/>
    </row>
    <row r="67" spans="1:16" s="52" customFormat="1" ht="12.75" hidden="1">
      <c r="A67" s="303"/>
      <c r="B67" s="303"/>
      <c r="C67" s="274"/>
      <c r="D67" s="274"/>
      <c r="E67" s="287"/>
      <c r="F67" s="287"/>
      <c r="G67" s="304"/>
      <c r="H67" s="304"/>
      <c r="I67" s="303"/>
      <c r="J67" s="304"/>
      <c r="K67" s="304"/>
      <c r="L67" s="287"/>
      <c r="M67" s="287"/>
      <c r="N67" s="287"/>
      <c r="O67" s="287"/>
      <c r="P67" s="51"/>
    </row>
    <row r="68" spans="1:16" s="52" customFormat="1" ht="12.75" hidden="1">
      <c r="A68" s="303"/>
      <c r="B68" s="303"/>
      <c r="C68" s="274"/>
      <c r="D68" s="295"/>
      <c r="E68" s="287"/>
      <c r="F68" s="287"/>
      <c r="G68" s="304"/>
      <c r="H68" s="304"/>
      <c r="I68" s="303"/>
      <c r="J68" s="304"/>
      <c r="K68" s="304"/>
      <c r="L68" s="287"/>
      <c r="M68" s="287"/>
      <c r="N68" s="287"/>
      <c r="O68" s="287"/>
      <c r="P68" s="51"/>
    </row>
    <row r="69" spans="1:16" s="52" customFormat="1" ht="12.75" hidden="1">
      <c r="A69" s="303"/>
      <c r="B69" s="303"/>
      <c r="C69" s="295"/>
      <c r="D69" s="295"/>
      <c r="E69" s="287"/>
      <c r="F69" s="287"/>
      <c r="G69" s="304"/>
      <c r="H69" s="304"/>
      <c r="I69" s="303"/>
      <c r="J69" s="304"/>
      <c r="K69" s="304"/>
      <c r="L69" s="287"/>
      <c r="M69" s="287"/>
      <c r="N69" s="287"/>
      <c r="O69" s="287"/>
      <c r="P69" s="51"/>
    </row>
    <row r="70" spans="1:16" s="52" customFormat="1" ht="12.75" hidden="1">
      <c r="A70" s="303"/>
      <c r="B70" s="303"/>
      <c r="C70" s="277"/>
      <c r="D70" s="295"/>
      <c r="E70" s="287"/>
      <c r="F70" s="287"/>
      <c r="G70" s="304"/>
      <c r="H70" s="304"/>
      <c r="I70" s="303"/>
      <c r="J70" s="304"/>
      <c r="K70" s="304"/>
      <c r="L70" s="287"/>
      <c r="M70" s="287"/>
      <c r="N70" s="287"/>
      <c r="O70" s="287"/>
      <c r="P70" s="51"/>
    </row>
    <row r="71" spans="1:16" s="52" customFormat="1" ht="12.75" hidden="1">
      <c r="A71" s="303"/>
      <c r="B71" s="303"/>
      <c r="C71" s="295"/>
      <c r="D71" s="295"/>
      <c r="E71" s="287"/>
      <c r="F71" s="287"/>
      <c r="G71" s="304"/>
      <c r="H71" s="304"/>
      <c r="I71" s="304"/>
      <c r="J71" s="304"/>
      <c r="K71" s="304"/>
      <c r="L71" s="287"/>
      <c r="M71" s="287"/>
      <c r="N71" s="287"/>
      <c r="O71" s="287"/>
      <c r="P71" s="51"/>
    </row>
    <row r="72" spans="1:16" s="52" customFormat="1" ht="12.75" hidden="1">
      <c r="A72" s="303"/>
      <c r="B72" s="303"/>
      <c r="C72" s="295"/>
      <c r="D72" s="295"/>
      <c r="E72" s="287"/>
      <c r="F72" s="287"/>
      <c r="G72" s="304"/>
      <c r="H72" s="304"/>
      <c r="I72" s="304"/>
      <c r="J72" s="304"/>
      <c r="K72" s="304"/>
      <c r="L72" s="287"/>
      <c r="M72" s="287"/>
      <c r="N72" s="287"/>
      <c r="O72" s="287"/>
      <c r="P72" s="51"/>
    </row>
    <row r="73" spans="1:16" s="52" customFormat="1" ht="12.75" hidden="1">
      <c r="A73" s="303"/>
      <c r="B73" s="303"/>
      <c r="C73" s="295"/>
      <c r="D73" s="295"/>
      <c r="E73" s="287"/>
      <c r="F73" s="287"/>
      <c r="G73" s="304"/>
      <c r="H73" s="304"/>
      <c r="I73" s="304"/>
      <c r="J73" s="304"/>
      <c r="K73" s="304"/>
      <c r="L73" s="287"/>
      <c r="M73" s="287"/>
      <c r="N73" s="287"/>
      <c r="O73" s="287"/>
      <c r="P73" s="51"/>
    </row>
    <row r="74" spans="1:16" s="52" customFormat="1" ht="12.75" hidden="1">
      <c r="A74" s="303"/>
      <c r="B74" s="303"/>
      <c r="C74" s="295"/>
      <c r="D74" s="295"/>
      <c r="E74" s="287"/>
      <c r="F74" s="287"/>
      <c r="G74" s="304"/>
      <c r="H74" s="304"/>
      <c r="I74" s="304"/>
      <c r="J74" s="304"/>
      <c r="K74" s="304"/>
      <c r="L74" s="287"/>
      <c r="M74" s="287"/>
      <c r="N74" s="287"/>
      <c r="O74" s="287"/>
      <c r="P74" s="51"/>
    </row>
    <row r="75" spans="1:16" s="52" customFormat="1" ht="12.75" hidden="1">
      <c r="A75" s="303"/>
      <c r="B75" s="303"/>
      <c r="C75" s="295"/>
      <c r="D75" s="295"/>
      <c r="E75" s="287"/>
      <c r="F75" s="287"/>
      <c r="G75" s="304"/>
      <c r="H75" s="304"/>
      <c r="I75" s="304"/>
      <c r="J75" s="304"/>
      <c r="K75" s="304"/>
      <c r="L75" s="287"/>
      <c r="M75" s="287"/>
      <c r="N75" s="287"/>
      <c r="O75" s="287"/>
      <c r="P75" s="51"/>
    </row>
    <row r="76" spans="1:16" s="52" customFormat="1" ht="12.75" hidden="1">
      <c r="A76" s="303"/>
      <c r="B76" s="303"/>
      <c r="C76" s="295"/>
      <c r="D76" s="295"/>
      <c r="E76" s="287"/>
      <c r="F76" s="287"/>
      <c r="G76" s="304"/>
      <c r="H76" s="304"/>
      <c r="I76" s="304"/>
      <c r="J76" s="304"/>
      <c r="K76" s="304"/>
      <c r="L76" s="287"/>
      <c r="M76" s="287"/>
      <c r="N76" s="287"/>
      <c r="O76" s="287"/>
      <c r="P76" s="51"/>
    </row>
    <row r="77" spans="1:16" s="52" customFormat="1" ht="12.75" hidden="1">
      <c r="A77" s="303"/>
      <c r="B77" s="303"/>
      <c r="C77" s="295"/>
      <c r="D77" s="295"/>
      <c r="E77" s="287"/>
      <c r="F77" s="287"/>
      <c r="G77" s="304"/>
      <c r="H77" s="304"/>
      <c r="I77" s="287"/>
      <c r="J77" s="304"/>
      <c r="K77" s="304"/>
      <c r="L77" s="287"/>
      <c r="M77" s="287"/>
      <c r="N77" s="287"/>
      <c r="O77" s="287"/>
      <c r="P77" s="51"/>
    </row>
    <row r="78" spans="1:16" s="48" customFormat="1" ht="12.75" hidden="1">
      <c r="A78" s="303"/>
      <c r="B78" s="295"/>
      <c r="C78" s="295"/>
      <c r="D78" s="295"/>
      <c r="E78" s="287"/>
      <c r="F78" s="274"/>
      <c r="G78" s="274"/>
      <c r="H78" s="274"/>
      <c r="I78" s="295"/>
      <c r="J78" s="274"/>
      <c r="K78" s="274"/>
      <c r="L78" s="274"/>
      <c r="M78" s="274"/>
      <c r="N78" s="274"/>
      <c r="O78" s="274"/>
      <c r="P78" s="49"/>
    </row>
    <row r="79" spans="1:15" s="48" customFormat="1" ht="12.75" hidden="1">
      <c r="A79" s="295"/>
      <c r="B79" s="295"/>
      <c r="C79" s="295"/>
      <c r="D79" s="295"/>
      <c r="E79" s="274"/>
      <c r="F79" s="295"/>
      <c r="G79" s="295"/>
      <c r="H79" s="295"/>
      <c r="I79" s="295"/>
      <c r="J79" s="295"/>
      <c r="K79" s="295"/>
      <c r="L79" s="295"/>
      <c r="M79" s="295"/>
      <c r="N79" s="295"/>
      <c r="O79" s="295"/>
    </row>
    <row r="80" spans="1:15" s="48" customFormat="1" ht="12.75" hidden="1">
      <c r="A80" s="295"/>
      <c r="B80" s="295"/>
      <c r="C80" s="295"/>
      <c r="D80" s="295"/>
      <c r="E80" s="295"/>
      <c r="F80" s="295"/>
      <c r="G80" s="295"/>
      <c r="H80" s="295"/>
      <c r="I80" s="295"/>
      <c r="J80" s="295"/>
      <c r="K80" s="295"/>
      <c r="L80" s="295"/>
      <c r="M80" s="295"/>
      <c r="N80" s="295"/>
      <c r="O80" s="295"/>
    </row>
    <row r="81" spans="1:15" s="48" customFormat="1" ht="12.75" hidden="1">
      <c r="A81" s="295"/>
      <c r="B81" s="295"/>
      <c r="C81" s="295"/>
      <c r="D81" s="295"/>
      <c r="E81" s="295"/>
      <c r="F81" s="295"/>
      <c r="G81" s="295"/>
      <c r="H81" s="295"/>
      <c r="I81" s="295"/>
      <c r="J81" s="295"/>
      <c r="K81" s="295"/>
      <c r="L81" s="295"/>
      <c r="M81" s="295"/>
      <c r="N81" s="295"/>
      <c r="O81" s="295"/>
    </row>
    <row r="82" spans="1:15" s="48" customFormat="1" ht="12.75" hidden="1">
      <c r="A82" s="295"/>
      <c r="B82" s="295"/>
      <c r="C82" s="295"/>
      <c r="D82" s="295"/>
      <c r="E82" s="295"/>
      <c r="F82" s="295"/>
      <c r="G82" s="295"/>
      <c r="H82" s="295"/>
      <c r="I82" s="295"/>
      <c r="J82" s="295"/>
      <c r="K82" s="295"/>
      <c r="L82" s="295"/>
      <c r="M82" s="295"/>
      <c r="N82" s="295"/>
      <c r="O82" s="295"/>
    </row>
    <row r="83" spans="1:15" s="48" customFormat="1" ht="12.75" hidden="1">
      <c r="A83" s="295"/>
      <c r="B83" s="295"/>
      <c r="C83" s="295"/>
      <c r="D83" s="295"/>
      <c r="E83" s="295"/>
      <c r="F83" s="295"/>
      <c r="G83" s="295"/>
      <c r="H83" s="295"/>
      <c r="I83" s="295"/>
      <c r="J83" s="295"/>
      <c r="K83" s="295"/>
      <c r="L83" s="295"/>
      <c r="M83" s="295"/>
      <c r="N83" s="295"/>
      <c r="O83" s="295"/>
    </row>
    <row r="84" spans="1:15" s="48" customFormat="1" ht="12.75" hidden="1">
      <c r="A84" s="295"/>
      <c r="B84" s="295"/>
      <c r="C84" s="295"/>
      <c r="D84" s="295"/>
      <c r="E84" s="295"/>
      <c r="F84" s="295"/>
      <c r="G84" s="295"/>
      <c r="H84" s="295"/>
      <c r="I84" s="295"/>
      <c r="J84" s="295"/>
      <c r="K84" s="295"/>
      <c r="L84" s="295"/>
      <c r="M84" s="295"/>
      <c r="N84" s="295"/>
      <c r="O84" s="295"/>
    </row>
    <row r="85" spans="1:15" s="48" customFormat="1" ht="12.75" hidden="1">
      <c r="A85" s="295"/>
      <c r="B85" s="295"/>
      <c r="C85" s="295"/>
      <c r="D85" s="295"/>
      <c r="E85" s="295"/>
      <c r="F85" s="295"/>
      <c r="G85" s="295"/>
      <c r="H85" s="295"/>
      <c r="I85" s="295"/>
      <c r="J85" s="295"/>
      <c r="K85" s="295"/>
      <c r="L85" s="295"/>
      <c r="M85" s="295"/>
      <c r="N85" s="295"/>
      <c r="O85" s="295"/>
    </row>
    <row r="86" spans="1:15" s="48" customFormat="1" ht="12.75" hidden="1">
      <c r="A86" s="295"/>
      <c r="B86" s="295"/>
      <c r="C86" s="295"/>
      <c r="D86" s="295"/>
      <c r="E86" s="295"/>
      <c r="F86" s="295"/>
      <c r="G86" s="295"/>
      <c r="H86" s="295"/>
      <c r="I86" s="295"/>
      <c r="J86" s="295"/>
      <c r="K86" s="295"/>
      <c r="L86" s="295"/>
      <c r="M86" s="295"/>
      <c r="N86" s="295"/>
      <c r="O86" s="295"/>
    </row>
    <row r="87" spans="1:15" s="48" customFormat="1" ht="12.75" hidden="1">
      <c r="A87" s="295"/>
      <c r="B87" s="295"/>
      <c r="C87" s="295"/>
      <c r="D87" s="295"/>
      <c r="E87" s="295"/>
      <c r="F87" s="295"/>
      <c r="G87" s="295"/>
      <c r="H87" s="295"/>
      <c r="I87" s="295"/>
      <c r="J87" s="295"/>
      <c r="K87" s="295"/>
      <c r="L87" s="295"/>
      <c r="M87" s="295"/>
      <c r="N87" s="295"/>
      <c r="O87" s="295"/>
    </row>
    <row r="88" spans="1:15" s="48" customFormat="1" ht="12.75" hidden="1">
      <c r="A88" s="295"/>
      <c r="B88" s="295"/>
      <c r="C88" s="295"/>
      <c r="D88" s="295"/>
      <c r="E88" s="295"/>
      <c r="F88" s="295"/>
      <c r="G88" s="295"/>
      <c r="H88" s="295"/>
      <c r="I88" s="295"/>
      <c r="J88" s="295"/>
      <c r="K88" s="295"/>
      <c r="L88" s="295"/>
      <c r="M88" s="295"/>
      <c r="N88" s="295"/>
      <c r="O88" s="295"/>
    </row>
    <row r="89" spans="1:15" s="48" customFormat="1" ht="12.75" hidden="1">
      <c r="A89" s="295"/>
      <c r="B89" s="295"/>
      <c r="C89" s="295"/>
      <c r="D89" s="295"/>
      <c r="E89" s="295"/>
      <c r="F89" s="295"/>
      <c r="G89" s="295"/>
      <c r="H89" s="295"/>
      <c r="I89" s="295"/>
      <c r="J89" s="295"/>
      <c r="K89" s="295"/>
      <c r="L89" s="295"/>
      <c r="M89" s="295"/>
      <c r="N89" s="295"/>
      <c r="O89" s="295"/>
    </row>
    <row r="90" spans="1:15" s="48" customFormat="1" ht="12.75" hidden="1">
      <c r="A90" s="295"/>
      <c r="B90" s="295"/>
      <c r="C90" s="295"/>
      <c r="D90" s="295"/>
      <c r="E90" s="295"/>
      <c r="F90" s="295"/>
      <c r="G90" s="295"/>
      <c r="H90" s="295"/>
      <c r="I90" s="295"/>
      <c r="J90" s="295"/>
      <c r="K90" s="295"/>
      <c r="L90" s="295"/>
      <c r="M90" s="295"/>
      <c r="N90" s="295"/>
      <c r="O90" s="295"/>
    </row>
    <row r="91" spans="1:15" s="48" customFormat="1" ht="12.75" hidden="1">
      <c r="A91" s="295"/>
      <c r="B91" s="295"/>
      <c r="C91" s="295"/>
      <c r="D91" s="295"/>
      <c r="E91" s="295"/>
      <c r="F91" s="295"/>
      <c r="G91" s="295"/>
      <c r="H91" s="295"/>
      <c r="I91" s="295"/>
      <c r="J91" s="295"/>
      <c r="K91" s="295"/>
      <c r="L91" s="295"/>
      <c r="M91" s="295"/>
      <c r="N91" s="295"/>
      <c r="O91" s="295"/>
    </row>
    <row r="92" spans="1:15" s="48" customFormat="1" ht="12.75" hidden="1">
      <c r="A92" s="295"/>
      <c r="B92" s="295"/>
      <c r="C92" s="295"/>
      <c r="D92" s="295"/>
      <c r="E92" s="295"/>
      <c r="F92" s="295"/>
      <c r="G92" s="295"/>
      <c r="H92" s="295"/>
      <c r="I92" s="295"/>
      <c r="J92" s="295"/>
      <c r="K92" s="295"/>
      <c r="L92" s="295"/>
      <c r="M92" s="295"/>
      <c r="N92" s="295"/>
      <c r="O92" s="295"/>
    </row>
    <row r="93" spans="1:15" s="48" customFormat="1" ht="12.75" hidden="1">
      <c r="A93" s="295"/>
      <c r="B93" s="295"/>
      <c r="C93" s="295"/>
      <c r="D93" s="295"/>
      <c r="E93" s="295"/>
      <c r="F93" s="295"/>
      <c r="G93" s="295"/>
      <c r="H93" s="295"/>
      <c r="I93" s="295"/>
      <c r="J93" s="295"/>
      <c r="K93" s="295"/>
      <c r="L93" s="295"/>
      <c r="M93" s="295"/>
      <c r="N93" s="295"/>
      <c r="O93" s="295"/>
    </row>
    <row r="94" spans="1:15" s="48" customFormat="1" ht="12.75" hidden="1">
      <c r="A94" s="295"/>
      <c r="B94" s="295"/>
      <c r="C94" s="295"/>
      <c r="D94" s="295"/>
      <c r="E94" s="295"/>
      <c r="F94" s="295"/>
      <c r="G94" s="295"/>
      <c r="H94" s="295"/>
      <c r="I94" s="295"/>
      <c r="J94" s="295"/>
      <c r="K94" s="295"/>
      <c r="L94" s="295"/>
      <c r="M94" s="295"/>
      <c r="N94" s="295"/>
      <c r="O94" s="295"/>
    </row>
    <row r="95" spans="1:15" s="48" customFormat="1" ht="12.75" hidden="1">
      <c r="A95" s="295"/>
      <c r="B95" s="295"/>
      <c r="C95" s="295"/>
      <c r="D95" s="295"/>
      <c r="E95" s="295"/>
      <c r="F95" s="295"/>
      <c r="G95" s="295"/>
      <c r="H95" s="295"/>
      <c r="I95" s="295"/>
      <c r="J95" s="295"/>
      <c r="K95" s="295"/>
      <c r="L95" s="295"/>
      <c r="M95" s="295"/>
      <c r="N95" s="295"/>
      <c r="O95" s="295"/>
    </row>
    <row r="96" spans="1:15" s="48" customFormat="1" ht="12.75" hidden="1">
      <c r="A96" s="295"/>
      <c r="B96" s="295"/>
      <c r="C96" s="295"/>
      <c r="D96" s="295"/>
      <c r="E96" s="295"/>
      <c r="F96" s="295"/>
      <c r="G96" s="295"/>
      <c r="H96" s="295"/>
      <c r="I96" s="295"/>
      <c r="J96" s="295"/>
      <c r="K96" s="295"/>
      <c r="L96" s="295"/>
      <c r="M96" s="295"/>
      <c r="N96" s="295"/>
      <c r="O96" s="295"/>
    </row>
    <row r="97" spans="1:15" s="48" customFormat="1" ht="12.75" hidden="1">
      <c r="A97" s="295"/>
      <c r="B97" s="295"/>
      <c r="C97" s="295"/>
      <c r="D97" s="295"/>
      <c r="E97" s="295"/>
      <c r="F97" s="295"/>
      <c r="G97" s="295"/>
      <c r="H97" s="295"/>
      <c r="I97" s="295"/>
      <c r="J97" s="295"/>
      <c r="K97" s="295"/>
      <c r="L97" s="295"/>
      <c r="M97" s="295"/>
      <c r="N97" s="295"/>
      <c r="O97" s="295"/>
    </row>
    <row r="98" spans="1:15" s="48" customFormat="1" ht="12.75" hidden="1">
      <c r="A98" s="295"/>
      <c r="B98" s="295"/>
      <c r="C98" s="295"/>
      <c r="D98" s="295"/>
      <c r="E98" s="295"/>
      <c r="F98" s="295"/>
      <c r="G98" s="295"/>
      <c r="H98" s="295"/>
      <c r="I98" s="295"/>
      <c r="J98" s="295"/>
      <c r="K98" s="295"/>
      <c r="L98" s="295"/>
      <c r="M98" s="295"/>
      <c r="N98" s="295"/>
      <c r="O98" s="295"/>
    </row>
    <row r="99" spans="1:15" s="48" customFormat="1" ht="12.75" hidden="1">
      <c r="A99" s="295"/>
      <c r="B99" s="295"/>
      <c r="C99" s="295"/>
      <c r="D99" s="295"/>
      <c r="E99" s="295"/>
      <c r="F99" s="295"/>
      <c r="G99" s="295"/>
      <c r="H99" s="295"/>
      <c r="I99" s="295"/>
      <c r="J99" s="295"/>
      <c r="K99" s="295"/>
      <c r="L99" s="295"/>
      <c r="M99" s="295"/>
      <c r="N99" s="295"/>
      <c r="O99" s="295"/>
    </row>
    <row r="100" spans="1:15" s="48" customFormat="1" ht="12.75" hidden="1">
      <c r="A100" s="295"/>
      <c r="B100" s="295"/>
      <c r="C100" s="295"/>
      <c r="D100" s="295"/>
      <c r="E100" s="295"/>
      <c r="F100" s="295"/>
      <c r="G100" s="295"/>
      <c r="H100" s="295"/>
      <c r="I100" s="295"/>
      <c r="J100" s="295"/>
      <c r="K100" s="295"/>
      <c r="L100" s="295"/>
      <c r="M100" s="295"/>
      <c r="N100" s="295"/>
      <c r="O100" s="295"/>
    </row>
    <row r="101" spans="1:15" s="48" customFormat="1" ht="12.75" hidden="1">
      <c r="A101" s="295"/>
      <c r="B101" s="295"/>
      <c r="C101" s="295"/>
      <c r="D101" s="295"/>
      <c r="E101" s="295"/>
      <c r="F101" s="295"/>
      <c r="G101" s="295"/>
      <c r="H101" s="295"/>
      <c r="I101" s="295"/>
      <c r="J101" s="295"/>
      <c r="K101" s="295"/>
      <c r="L101" s="295"/>
      <c r="M101" s="295"/>
      <c r="N101" s="295"/>
      <c r="O101" s="295"/>
    </row>
    <row r="102" spans="1:15" s="48" customFormat="1" ht="12.75" hidden="1">
      <c r="A102" s="295"/>
      <c r="B102" s="295"/>
      <c r="C102" s="295"/>
      <c r="D102" s="295"/>
      <c r="E102" s="295"/>
      <c r="F102" s="295"/>
      <c r="G102" s="295"/>
      <c r="H102" s="295"/>
      <c r="I102" s="295"/>
      <c r="J102" s="295"/>
      <c r="K102" s="295"/>
      <c r="L102" s="295"/>
      <c r="M102" s="295"/>
      <c r="N102" s="295"/>
      <c r="O102" s="295"/>
    </row>
    <row r="103" spans="1:15" s="48" customFormat="1" ht="12.75" hidden="1">
      <c r="A103" s="295"/>
      <c r="B103" s="295"/>
      <c r="C103" s="295"/>
      <c r="D103" s="295"/>
      <c r="E103" s="295"/>
      <c r="F103" s="295"/>
      <c r="G103" s="295"/>
      <c r="H103" s="295"/>
      <c r="I103" s="295"/>
      <c r="J103" s="295"/>
      <c r="K103" s="295"/>
      <c r="L103" s="295"/>
      <c r="M103" s="295"/>
      <c r="N103" s="295"/>
      <c r="O103" s="295"/>
    </row>
    <row r="104" spans="1:15" s="48" customFormat="1" ht="12.75" hidden="1">
      <c r="A104" s="295"/>
      <c r="B104" s="295"/>
      <c r="C104" s="295"/>
      <c r="D104" s="295"/>
      <c r="E104" s="295"/>
      <c r="F104" s="295"/>
      <c r="G104" s="295"/>
      <c r="H104" s="295"/>
      <c r="I104" s="295"/>
      <c r="J104" s="295"/>
      <c r="K104" s="295"/>
      <c r="L104" s="295"/>
      <c r="M104" s="295"/>
      <c r="N104" s="295"/>
      <c r="O104" s="295"/>
    </row>
    <row r="105" spans="1:15" s="48" customFormat="1" ht="12.75" hidden="1">
      <c r="A105" s="295"/>
      <c r="B105" s="295"/>
      <c r="C105" s="295"/>
      <c r="D105" s="295"/>
      <c r="E105" s="295"/>
      <c r="F105" s="295"/>
      <c r="G105" s="295"/>
      <c r="H105" s="295"/>
      <c r="I105" s="295"/>
      <c r="J105" s="295"/>
      <c r="K105" s="295"/>
      <c r="L105" s="295"/>
      <c r="M105" s="295"/>
      <c r="N105" s="295"/>
      <c r="O105" s="295"/>
    </row>
    <row r="106" spans="1:15" s="48" customFormat="1" ht="12.75" hidden="1">
      <c r="A106" s="295"/>
      <c r="B106" s="295"/>
      <c r="C106" s="295"/>
      <c r="D106" s="295"/>
      <c r="E106" s="295"/>
      <c r="F106" s="295"/>
      <c r="G106" s="295"/>
      <c r="H106" s="295"/>
      <c r="I106" s="295"/>
      <c r="J106" s="295"/>
      <c r="K106" s="295"/>
      <c r="L106" s="295"/>
      <c r="M106" s="295"/>
      <c r="N106" s="295"/>
      <c r="O106" s="295"/>
    </row>
    <row r="107" spans="1:15" s="48" customFormat="1" ht="12.75" hidden="1">
      <c r="A107" s="295"/>
      <c r="B107" s="295"/>
      <c r="C107" s="295"/>
      <c r="D107" s="295"/>
      <c r="E107" s="295"/>
      <c r="F107" s="295"/>
      <c r="G107" s="295"/>
      <c r="H107" s="295"/>
      <c r="I107" s="295"/>
      <c r="J107" s="295"/>
      <c r="K107" s="295"/>
      <c r="L107" s="295"/>
      <c r="M107" s="295"/>
      <c r="N107" s="295"/>
      <c r="O107" s="295"/>
    </row>
    <row r="108" spans="1:15" s="48" customFormat="1" ht="12.75" hidden="1">
      <c r="A108" s="295"/>
      <c r="B108" s="295"/>
      <c r="C108" s="295"/>
      <c r="D108" s="295"/>
      <c r="E108" s="295"/>
      <c r="F108" s="295"/>
      <c r="G108" s="295"/>
      <c r="H108" s="295"/>
      <c r="I108" s="295"/>
      <c r="J108" s="295"/>
      <c r="K108" s="295"/>
      <c r="L108" s="295"/>
      <c r="M108" s="295"/>
      <c r="N108" s="295"/>
      <c r="O108" s="295"/>
    </row>
    <row r="109" spans="1:15" s="48" customFormat="1" ht="12.75" hidden="1">
      <c r="A109" s="295"/>
      <c r="B109" s="295"/>
      <c r="C109" s="295"/>
      <c r="D109" s="295"/>
      <c r="E109" s="295"/>
      <c r="F109" s="295"/>
      <c r="G109" s="295"/>
      <c r="H109" s="295"/>
      <c r="I109" s="295"/>
      <c r="J109" s="295"/>
      <c r="K109" s="295"/>
      <c r="L109" s="295"/>
      <c r="M109" s="295"/>
      <c r="N109" s="295"/>
      <c r="O109" s="295"/>
    </row>
    <row r="110" spans="1:15" s="48" customFormat="1" ht="12.75" hidden="1">
      <c r="A110" s="295"/>
      <c r="B110" s="295"/>
      <c r="C110" s="295"/>
      <c r="D110" s="295"/>
      <c r="E110" s="295"/>
      <c r="F110" s="295"/>
      <c r="G110" s="295"/>
      <c r="H110" s="295"/>
      <c r="I110" s="295"/>
      <c r="J110" s="295"/>
      <c r="K110" s="295"/>
      <c r="L110" s="295"/>
      <c r="M110" s="295"/>
      <c r="N110" s="295"/>
      <c r="O110" s="295"/>
    </row>
    <row r="111" spans="1:15" s="48" customFormat="1" ht="12.75" hidden="1">
      <c r="A111" s="295"/>
      <c r="B111" s="295"/>
      <c r="C111" s="295"/>
      <c r="D111" s="295"/>
      <c r="E111" s="295"/>
      <c r="F111" s="295"/>
      <c r="G111" s="295"/>
      <c r="H111" s="295"/>
      <c r="I111" s="295"/>
      <c r="J111" s="295"/>
      <c r="K111" s="295"/>
      <c r="L111" s="295"/>
      <c r="M111" s="295"/>
      <c r="N111" s="295"/>
      <c r="O111" s="295"/>
    </row>
    <row r="112" spans="1:15" s="48" customFormat="1" ht="12.75" hidden="1">
      <c r="A112" s="295"/>
      <c r="B112" s="295"/>
      <c r="C112" s="295"/>
      <c r="D112" s="295"/>
      <c r="E112" s="295"/>
      <c r="F112" s="295"/>
      <c r="G112" s="295"/>
      <c r="H112" s="295"/>
      <c r="I112" s="295"/>
      <c r="J112" s="295"/>
      <c r="K112" s="295"/>
      <c r="L112" s="295"/>
      <c r="M112" s="295"/>
      <c r="N112" s="295"/>
      <c r="O112" s="295"/>
    </row>
    <row r="113" spans="1:15" s="48" customFormat="1" ht="12.75" hidden="1">
      <c r="A113" s="295"/>
      <c r="B113" s="295"/>
      <c r="C113" s="295"/>
      <c r="D113" s="295"/>
      <c r="E113" s="295"/>
      <c r="F113" s="295"/>
      <c r="G113" s="295"/>
      <c r="H113" s="295"/>
      <c r="I113" s="295"/>
      <c r="J113" s="295"/>
      <c r="K113" s="295"/>
      <c r="L113" s="295"/>
      <c r="M113" s="295"/>
      <c r="N113" s="295"/>
      <c r="O113" s="295"/>
    </row>
    <row r="114" spans="1:15" s="48" customFormat="1" ht="12.75" hidden="1">
      <c r="A114" s="295"/>
      <c r="B114" s="295"/>
      <c r="C114" s="295"/>
      <c r="D114" s="295"/>
      <c r="E114" s="295"/>
      <c r="F114" s="295"/>
      <c r="G114" s="295"/>
      <c r="H114" s="295"/>
      <c r="I114" s="295"/>
      <c r="J114" s="295"/>
      <c r="K114" s="295"/>
      <c r="L114" s="295"/>
      <c r="M114" s="295"/>
      <c r="N114" s="295"/>
      <c r="O114" s="295"/>
    </row>
    <row r="115" spans="1:15" s="48" customFormat="1" ht="12.75" hidden="1">
      <c r="A115" s="295"/>
      <c r="B115" s="295"/>
      <c r="C115" s="295"/>
      <c r="D115" s="295"/>
      <c r="E115" s="295"/>
      <c r="F115" s="295"/>
      <c r="G115" s="295"/>
      <c r="H115" s="295"/>
      <c r="I115" s="295"/>
      <c r="J115" s="295"/>
      <c r="K115" s="295"/>
      <c r="L115" s="295"/>
      <c r="M115" s="295"/>
      <c r="N115" s="295"/>
      <c r="O115" s="295"/>
    </row>
    <row r="116" spans="1:15" s="48" customFormat="1" ht="12.75" hidden="1">
      <c r="A116" s="295"/>
      <c r="B116" s="295"/>
      <c r="C116" s="295"/>
      <c r="D116" s="295"/>
      <c r="E116" s="295"/>
      <c r="F116" s="295"/>
      <c r="G116" s="295"/>
      <c r="H116" s="295"/>
      <c r="I116" s="295"/>
      <c r="J116" s="295"/>
      <c r="K116" s="295"/>
      <c r="L116" s="295"/>
      <c r="M116" s="295"/>
      <c r="N116" s="295"/>
      <c r="O116" s="295"/>
    </row>
    <row r="117" spans="1:15" s="48" customFormat="1" ht="12.75" hidden="1">
      <c r="A117" s="295"/>
      <c r="B117" s="295"/>
      <c r="C117" s="295"/>
      <c r="D117" s="295"/>
      <c r="E117" s="295"/>
      <c r="F117" s="295"/>
      <c r="G117" s="295"/>
      <c r="H117" s="295"/>
      <c r="I117" s="295"/>
      <c r="J117" s="295"/>
      <c r="K117" s="295"/>
      <c r="L117" s="295"/>
      <c r="M117" s="295"/>
      <c r="N117" s="295"/>
      <c r="O117" s="295"/>
    </row>
    <row r="118" spans="1:15" s="48" customFormat="1" ht="12.75" hidden="1">
      <c r="A118" s="295"/>
      <c r="B118" s="295"/>
      <c r="C118" s="295"/>
      <c r="D118" s="295"/>
      <c r="E118" s="295"/>
      <c r="F118" s="295"/>
      <c r="G118" s="295"/>
      <c r="H118" s="295"/>
      <c r="I118" s="295"/>
      <c r="J118" s="295"/>
      <c r="K118" s="295"/>
      <c r="L118" s="295"/>
      <c r="M118" s="295"/>
      <c r="N118" s="295"/>
      <c r="O118" s="295"/>
    </row>
    <row r="119" spans="1:15" s="48" customFormat="1" ht="12.75" hidden="1">
      <c r="A119" s="295"/>
      <c r="B119" s="295"/>
      <c r="C119" s="295"/>
      <c r="D119" s="295"/>
      <c r="E119" s="295"/>
      <c r="F119" s="295"/>
      <c r="G119" s="295"/>
      <c r="H119" s="295"/>
      <c r="I119" s="295"/>
      <c r="J119" s="295"/>
      <c r="K119" s="295"/>
      <c r="L119" s="295"/>
      <c r="M119" s="295"/>
      <c r="N119" s="295"/>
      <c r="O119" s="295"/>
    </row>
    <row r="120" spans="1:15" s="48" customFormat="1" ht="12.75" hidden="1">
      <c r="A120" s="295"/>
      <c r="B120" s="295"/>
      <c r="C120" s="295"/>
      <c r="D120" s="295"/>
      <c r="E120" s="295"/>
      <c r="F120" s="295"/>
      <c r="G120" s="295"/>
      <c r="H120" s="295"/>
      <c r="I120" s="295"/>
      <c r="J120" s="295"/>
      <c r="K120" s="295"/>
      <c r="L120" s="295"/>
      <c r="M120" s="295"/>
      <c r="N120" s="295"/>
      <c r="O120" s="295"/>
    </row>
    <row r="121" spans="1:15" s="48" customFormat="1" ht="12.75" hidden="1">
      <c r="A121" s="295"/>
      <c r="B121" s="295"/>
      <c r="C121" s="295"/>
      <c r="D121" s="295"/>
      <c r="E121" s="295"/>
      <c r="F121" s="295"/>
      <c r="G121" s="295"/>
      <c r="H121" s="295"/>
      <c r="I121" s="295"/>
      <c r="J121" s="295"/>
      <c r="K121" s="295"/>
      <c r="L121" s="295"/>
      <c r="M121" s="295"/>
      <c r="N121" s="295"/>
      <c r="O121" s="295"/>
    </row>
    <row r="122" spans="1:15" s="48" customFormat="1" ht="12.75" hidden="1">
      <c r="A122" s="295"/>
      <c r="B122" s="295"/>
      <c r="C122" s="295"/>
      <c r="D122" s="295"/>
      <c r="E122" s="295"/>
      <c r="F122" s="295"/>
      <c r="G122" s="295"/>
      <c r="H122" s="295"/>
      <c r="I122" s="295"/>
      <c r="J122" s="295"/>
      <c r="K122" s="295"/>
      <c r="L122" s="295"/>
      <c r="M122" s="295"/>
      <c r="N122" s="295"/>
      <c r="O122" s="295"/>
    </row>
    <row r="123" spans="1:15" s="48" customFormat="1" ht="12.75" hidden="1">
      <c r="A123" s="295"/>
      <c r="B123" s="295"/>
      <c r="C123" s="295"/>
      <c r="D123" s="295"/>
      <c r="E123" s="295"/>
      <c r="F123" s="295"/>
      <c r="G123" s="295"/>
      <c r="H123" s="295"/>
      <c r="I123" s="295"/>
      <c r="J123" s="295"/>
      <c r="K123" s="295"/>
      <c r="L123" s="295"/>
      <c r="M123" s="295"/>
      <c r="N123" s="295"/>
      <c r="O123" s="295"/>
    </row>
    <row r="124" spans="1:15" s="48" customFormat="1" ht="12.75" hidden="1">
      <c r="A124" s="295"/>
      <c r="B124" s="295"/>
      <c r="C124" s="295"/>
      <c r="D124" s="295"/>
      <c r="E124" s="295"/>
      <c r="F124" s="295"/>
      <c r="G124" s="295"/>
      <c r="H124" s="295"/>
      <c r="I124" s="295"/>
      <c r="J124" s="295"/>
      <c r="K124" s="295"/>
      <c r="L124" s="295"/>
      <c r="M124" s="295"/>
      <c r="N124" s="295"/>
      <c r="O124" s="295"/>
    </row>
    <row r="125" spans="1:15" s="48" customFormat="1" ht="12.75" hidden="1">
      <c r="A125" s="295"/>
      <c r="B125" s="295"/>
      <c r="C125" s="295"/>
      <c r="D125" s="295"/>
      <c r="E125" s="295"/>
      <c r="F125" s="295"/>
      <c r="G125" s="295"/>
      <c r="H125" s="295"/>
      <c r="I125" s="295"/>
      <c r="J125" s="295"/>
      <c r="K125" s="295"/>
      <c r="L125" s="295"/>
      <c r="M125" s="295"/>
      <c r="N125" s="295"/>
      <c r="O125" s="295"/>
    </row>
    <row r="126" spans="1:15" s="48" customFormat="1" ht="12.75" hidden="1">
      <c r="A126" s="295"/>
      <c r="B126" s="295"/>
      <c r="C126" s="295"/>
      <c r="D126" s="295"/>
      <c r="E126" s="295"/>
      <c r="F126" s="295"/>
      <c r="G126" s="295"/>
      <c r="H126" s="295"/>
      <c r="I126" s="295"/>
      <c r="J126" s="295"/>
      <c r="K126" s="295"/>
      <c r="L126" s="295"/>
      <c r="M126" s="295"/>
      <c r="N126" s="295"/>
      <c r="O126" s="295"/>
    </row>
    <row r="127" spans="1:15" s="48" customFormat="1" ht="12.75" hidden="1">
      <c r="A127" s="295"/>
      <c r="B127" s="295"/>
      <c r="C127" s="295"/>
      <c r="D127" s="295"/>
      <c r="E127" s="295"/>
      <c r="F127" s="295"/>
      <c r="G127" s="295"/>
      <c r="H127" s="295"/>
      <c r="I127" s="295"/>
      <c r="J127" s="295"/>
      <c r="K127" s="295"/>
      <c r="L127" s="295"/>
      <c r="M127" s="295"/>
      <c r="N127" s="295"/>
      <c r="O127" s="295"/>
    </row>
    <row r="128" spans="1:15" s="48" customFormat="1" ht="12.75" hidden="1">
      <c r="A128" s="295"/>
      <c r="B128" s="295"/>
      <c r="C128" s="295"/>
      <c r="D128" s="295"/>
      <c r="E128" s="295"/>
      <c r="F128" s="295"/>
      <c r="G128" s="295"/>
      <c r="H128" s="295"/>
      <c r="I128" s="295"/>
      <c r="J128" s="295"/>
      <c r="K128" s="295"/>
      <c r="L128" s="295"/>
      <c r="M128" s="295"/>
      <c r="N128" s="295"/>
      <c r="O128" s="295"/>
    </row>
    <row r="129" spans="1:15" s="48" customFormat="1" ht="12.75">
      <c r="A129" s="295"/>
      <c r="B129" s="295"/>
      <c r="C129" s="295"/>
      <c r="D129" s="295"/>
      <c r="E129" s="295"/>
      <c r="F129" s="295"/>
      <c r="G129" s="295"/>
      <c r="H129" s="295"/>
      <c r="I129" s="295"/>
      <c r="J129" s="295"/>
      <c r="K129" s="295"/>
      <c r="L129" s="295"/>
      <c r="M129" s="295"/>
      <c r="N129" s="295"/>
      <c r="O129" s="295"/>
    </row>
    <row r="130" spans="1:15" s="48" customFormat="1" ht="12.75">
      <c r="A130" s="295"/>
      <c r="B130" s="295"/>
      <c r="C130" s="295"/>
      <c r="D130" s="295"/>
      <c r="E130" s="295"/>
      <c r="F130" s="295"/>
      <c r="G130" s="295"/>
      <c r="H130" s="295"/>
      <c r="I130" s="295"/>
      <c r="J130" s="295"/>
      <c r="K130" s="295"/>
      <c r="L130" s="295"/>
      <c r="M130" s="295"/>
      <c r="N130" s="295"/>
      <c r="O130" s="295"/>
    </row>
    <row r="131" spans="1:15" s="48" customFormat="1" ht="12.75">
      <c r="A131" s="295"/>
      <c r="B131" s="295"/>
      <c r="C131" s="295"/>
      <c r="D131" s="295"/>
      <c r="E131" s="295"/>
      <c r="F131" s="295"/>
      <c r="G131" s="295"/>
      <c r="H131" s="295"/>
      <c r="I131" s="295"/>
      <c r="J131" s="295"/>
      <c r="K131" s="295"/>
      <c r="L131" s="295"/>
      <c r="M131" s="295"/>
      <c r="N131" s="295"/>
      <c r="O131" s="295"/>
    </row>
    <row r="132" spans="1:15" s="48" customFormat="1" ht="12.75">
      <c r="A132" s="295"/>
      <c r="B132" s="295"/>
      <c r="C132" s="295"/>
      <c r="D132" s="295"/>
      <c r="E132" s="295"/>
      <c r="F132" s="295"/>
      <c r="G132" s="295"/>
      <c r="H132" s="295"/>
      <c r="I132" s="295"/>
      <c r="J132" s="295"/>
      <c r="K132" s="295"/>
      <c r="L132" s="295"/>
      <c r="M132" s="295"/>
      <c r="N132" s="295"/>
      <c r="O132" s="295"/>
    </row>
    <row r="133" spans="1:15" s="48" customFormat="1" ht="12.75">
      <c r="A133" s="295"/>
      <c r="B133" s="295"/>
      <c r="C133" s="295"/>
      <c r="D133" s="295"/>
      <c r="E133" s="295"/>
      <c r="F133" s="295"/>
      <c r="G133" s="295"/>
      <c r="H133" s="295"/>
      <c r="I133" s="295"/>
      <c r="J133" s="295"/>
      <c r="K133" s="295"/>
      <c r="L133" s="295"/>
      <c r="M133" s="295"/>
      <c r="N133" s="295"/>
      <c r="O133" s="295"/>
    </row>
    <row r="134" spans="1:15" s="48" customFormat="1" ht="12.75">
      <c r="A134" s="295"/>
      <c r="B134" s="295"/>
      <c r="C134" s="295"/>
      <c r="D134" s="295"/>
      <c r="E134" s="295"/>
      <c r="F134" s="295"/>
      <c r="G134" s="295"/>
      <c r="H134" s="295"/>
      <c r="I134" s="295"/>
      <c r="J134" s="295"/>
      <c r="K134" s="295"/>
      <c r="L134" s="295"/>
      <c r="M134" s="295"/>
      <c r="N134" s="295"/>
      <c r="O134" s="295"/>
    </row>
    <row r="135" spans="1:15" s="48" customFormat="1" ht="12.75">
      <c r="A135" s="295"/>
      <c r="B135" s="295"/>
      <c r="C135" s="295"/>
      <c r="D135" s="295"/>
      <c r="E135" s="295"/>
      <c r="F135" s="295"/>
      <c r="G135" s="295"/>
      <c r="H135" s="295"/>
      <c r="I135" s="295"/>
      <c r="J135" s="295"/>
      <c r="K135" s="295"/>
      <c r="L135" s="295"/>
      <c r="M135" s="295"/>
      <c r="N135" s="295"/>
      <c r="O135" s="295"/>
    </row>
    <row r="136" spans="1:15" s="48" customFormat="1" ht="12.75">
      <c r="A136" s="295"/>
      <c r="B136" s="295"/>
      <c r="C136" s="295"/>
      <c r="D136" s="295"/>
      <c r="E136" s="295"/>
      <c r="F136" s="295"/>
      <c r="G136" s="295"/>
      <c r="H136" s="295"/>
      <c r="I136" s="295"/>
      <c r="J136" s="295"/>
      <c r="K136" s="295"/>
      <c r="L136" s="295"/>
      <c r="M136" s="295"/>
      <c r="N136" s="295"/>
      <c r="O136" s="295"/>
    </row>
    <row r="137" spans="1:15" s="48" customFormat="1" ht="12.75">
      <c r="A137" s="295"/>
      <c r="B137" s="295"/>
      <c r="C137" s="295"/>
      <c r="D137" s="295"/>
      <c r="E137" s="295"/>
      <c r="F137" s="295"/>
      <c r="G137" s="295"/>
      <c r="H137" s="295"/>
      <c r="I137" s="295"/>
      <c r="J137" s="295"/>
      <c r="K137" s="295"/>
      <c r="L137" s="295"/>
      <c r="M137" s="295"/>
      <c r="N137" s="295"/>
      <c r="O137" s="295"/>
    </row>
    <row r="138" spans="1:15" s="48" customFormat="1" ht="12.75">
      <c r="A138" s="295"/>
      <c r="B138" s="295"/>
      <c r="C138" s="295"/>
      <c r="D138" s="295"/>
      <c r="E138" s="295"/>
      <c r="F138" s="295"/>
      <c r="G138" s="295"/>
      <c r="H138" s="295"/>
      <c r="I138" s="295"/>
      <c r="J138" s="295"/>
      <c r="K138" s="295"/>
      <c r="L138" s="295"/>
      <c r="M138" s="295"/>
      <c r="N138" s="295"/>
      <c r="O138" s="295"/>
    </row>
    <row r="139" spans="1:15" s="48" customFormat="1" ht="12.75">
      <c r="A139" s="295"/>
      <c r="B139" s="295"/>
      <c r="C139" s="295"/>
      <c r="D139" s="295"/>
      <c r="E139" s="295"/>
      <c r="F139" s="295"/>
      <c r="G139" s="295"/>
      <c r="H139" s="295"/>
      <c r="I139" s="295"/>
      <c r="J139" s="295"/>
      <c r="K139" s="295"/>
      <c r="L139" s="295"/>
      <c r="M139" s="295"/>
      <c r="N139" s="295"/>
      <c r="O139" s="295"/>
    </row>
    <row r="140" spans="1:15" s="48" customFormat="1" ht="12.75">
      <c r="A140" s="295"/>
      <c r="B140" s="295"/>
      <c r="C140" s="295"/>
      <c r="D140" s="295"/>
      <c r="E140" s="295"/>
      <c r="F140" s="295"/>
      <c r="G140" s="295"/>
      <c r="H140" s="295"/>
      <c r="I140" s="295"/>
      <c r="J140" s="295"/>
      <c r="K140" s="295"/>
      <c r="L140" s="295"/>
      <c r="M140" s="295"/>
      <c r="N140" s="295"/>
      <c r="O140" s="295"/>
    </row>
    <row r="141" spans="1:15" s="48" customFormat="1" ht="12.75">
      <c r="A141" s="295"/>
      <c r="B141" s="295"/>
      <c r="C141" s="295"/>
      <c r="D141" s="295"/>
      <c r="E141" s="295"/>
      <c r="F141" s="295"/>
      <c r="G141" s="295"/>
      <c r="H141" s="295"/>
      <c r="I141" s="295"/>
      <c r="J141" s="295"/>
      <c r="K141" s="295"/>
      <c r="L141" s="295"/>
      <c r="M141" s="295"/>
      <c r="N141" s="295"/>
      <c r="O141" s="295"/>
    </row>
    <row r="142" spans="1:15" s="48" customFormat="1" ht="12.75">
      <c r="A142" s="295"/>
      <c r="B142" s="295"/>
      <c r="C142" s="295"/>
      <c r="D142" s="295"/>
      <c r="E142" s="295"/>
      <c r="F142" s="295"/>
      <c r="G142" s="295"/>
      <c r="H142" s="295"/>
      <c r="I142" s="295"/>
      <c r="J142" s="295"/>
      <c r="K142" s="295"/>
      <c r="L142" s="295"/>
      <c r="M142" s="295"/>
      <c r="N142" s="295"/>
      <c r="O142" s="295"/>
    </row>
    <row r="143" spans="1:15" s="48" customFormat="1" ht="12.75">
      <c r="A143" s="295"/>
      <c r="B143" s="295"/>
      <c r="C143" s="295"/>
      <c r="D143" s="295"/>
      <c r="E143" s="295"/>
      <c r="F143" s="295"/>
      <c r="G143" s="295"/>
      <c r="H143" s="295"/>
      <c r="I143" s="295"/>
      <c r="J143" s="295"/>
      <c r="K143" s="295"/>
      <c r="L143" s="295"/>
      <c r="M143" s="295"/>
      <c r="N143" s="295"/>
      <c r="O143" s="295"/>
    </row>
    <row r="144" spans="1:15" s="48" customFormat="1" ht="12.75">
      <c r="A144" s="295"/>
      <c r="B144" s="295"/>
      <c r="C144" s="295"/>
      <c r="D144" s="295"/>
      <c r="E144" s="295"/>
      <c r="F144" s="295"/>
      <c r="G144" s="295"/>
      <c r="H144" s="295"/>
      <c r="I144" s="295"/>
      <c r="J144" s="295"/>
      <c r="K144" s="295"/>
      <c r="L144" s="295"/>
      <c r="M144" s="295"/>
      <c r="N144" s="295"/>
      <c r="O144" s="295"/>
    </row>
    <row r="145" spans="1:15" s="48" customFormat="1" ht="12.75">
      <c r="A145" s="295"/>
      <c r="B145" s="295"/>
      <c r="C145" s="295"/>
      <c r="D145" s="295"/>
      <c r="E145" s="295"/>
      <c r="F145" s="295"/>
      <c r="G145" s="295"/>
      <c r="H145" s="295"/>
      <c r="I145" s="295"/>
      <c r="J145" s="295"/>
      <c r="K145" s="295"/>
      <c r="L145" s="295"/>
      <c r="M145" s="295"/>
      <c r="N145" s="295"/>
      <c r="O145" s="295"/>
    </row>
    <row r="146" spans="1:15" s="48" customFormat="1" ht="12.75">
      <c r="A146" s="295"/>
      <c r="B146" s="295"/>
      <c r="C146" s="295"/>
      <c r="D146" s="295"/>
      <c r="E146" s="295"/>
      <c r="F146" s="295"/>
      <c r="G146" s="295"/>
      <c r="H146" s="295"/>
      <c r="I146" s="295"/>
      <c r="J146" s="295"/>
      <c r="K146" s="295"/>
      <c r="L146" s="295"/>
      <c r="M146" s="295"/>
      <c r="N146" s="295"/>
      <c r="O146" s="295"/>
    </row>
    <row r="147" spans="1:15" s="48" customFormat="1" ht="12.75">
      <c r="A147" s="295"/>
      <c r="B147" s="295"/>
      <c r="C147" s="295"/>
      <c r="D147" s="295"/>
      <c r="E147" s="295"/>
      <c r="F147" s="295"/>
      <c r="G147" s="295"/>
      <c r="H147" s="295"/>
      <c r="I147" s="295"/>
      <c r="J147" s="295"/>
      <c r="K147" s="295"/>
      <c r="L147" s="295"/>
      <c r="M147" s="295"/>
      <c r="N147" s="295"/>
      <c r="O147" s="295"/>
    </row>
    <row r="148" spans="1:15" s="48" customFormat="1" ht="12.75">
      <c r="A148" s="295"/>
      <c r="B148" s="295"/>
      <c r="C148" s="295"/>
      <c r="D148" s="295"/>
      <c r="E148" s="295"/>
      <c r="F148" s="295"/>
      <c r="G148" s="295"/>
      <c r="H148" s="295"/>
      <c r="I148" s="295"/>
      <c r="J148" s="295"/>
      <c r="K148" s="295"/>
      <c r="L148" s="295"/>
      <c r="M148" s="295"/>
      <c r="N148" s="295"/>
      <c r="O148" s="295"/>
    </row>
    <row r="149" spans="1:15" s="48" customFormat="1" ht="12.75">
      <c r="A149" s="295"/>
      <c r="B149" s="295"/>
      <c r="C149" s="295"/>
      <c r="D149" s="295"/>
      <c r="E149" s="295"/>
      <c r="F149" s="295"/>
      <c r="G149" s="295"/>
      <c r="H149" s="295"/>
      <c r="I149" s="295"/>
      <c r="J149" s="295"/>
      <c r="K149" s="295"/>
      <c r="L149" s="295"/>
      <c r="M149" s="295"/>
      <c r="N149" s="295"/>
      <c r="O149" s="295"/>
    </row>
    <row r="150" spans="1:15" s="48" customFormat="1" ht="12.75">
      <c r="A150" s="295"/>
      <c r="B150" s="295"/>
      <c r="C150" s="295"/>
      <c r="D150" s="295"/>
      <c r="E150" s="295"/>
      <c r="F150" s="295"/>
      <c r="G150" s="295"/>
      <c r="H150" s="295"/>
      <c r="I150" s="295"/>
      <c r="J150" s="295"/>
      <c r="K150" s="295"/>
      <c r="L150" s="295"/>
      <c r="M150" s="295"/>
      <c r="N150" s="295"/>
      <c r="O150" s="295"/>
    </row>
    <row r="151" spans="1:15" s="48" customFormat="1" ht="12.75">
      <c r="A151" s="295"/>
      <c r="B151" s="295"/>
      <c r="C151" s="295"/>
      <c r="D151" s="295"/>
      <c r="E151" s="295"/>
      <c r="F151" s="295"/>
      <c r="G151" s="295"/>
      <c r="H151" s="295"/>
      <c r="I151" s="295"/>
      <c r="J151" s="295"/>
      <c r="K151" s="295"/>
      <c r="L151" s="295"/>
      <c r="M151" s="295"/>
      <c r="N151" s="295"/>
      <c r="O151" s="295"/>
    </row>
    <row r="152" spans="1:15" s="48" customFormat="1" ht="12.75">
      <c r="A152" s="295"/>
      <c r="B152" s="295"/>
      <c r="C152" s="295"/>
      <c r="D152" s="295"/>
      <c r="E152" s="295"/>
      <c r="F152" s="295"/>
      <c r="G152" s="295"/>
      <c r="H152" s="295"/>
      <c r="I152" s="295"/>
      <c r="J152" s="295"/>
      <c r="K152" s="295"/>
      <c r="L152" s="295"/>
      <c r="M152" s="295"/>
      <c r="N152" s="295"/>
      <c r="O152" s="295"/>
    </row>
    <row r="153" spans="1:15" s="48" customFormat="1" ht="12.75">
      <c r="A153" s="295"/>
      <c r="B153" s="295"/>
      <c r="C153" s="295"/>
      <c r="D153" s="295"/>
      <c r="E153" s="295"/>
      <c r="F153" s="295"/>
      <c r="G153" s="295"/>
      <c r="H153" s="295"/>
      <c r="I153" s="295"/>
      <c r="J153" s="295"/>
      <c r="K153" s="295"/>
      <c r="L153" s="295"/>
      <c r="M153" s="295"/>
      <c r="N153" s="295"/>
      <c r="O153" s="295"/>
    </row>
    <row r="154" spans="1:15" s="48" customFormat="1" ht="12.75">
      <c r="A154" s="295"/>
      <c r="B154" s="295"/>
      <c r="C154" s="295"/>
      <c r="D154" s="295"/>
      <c r="E154" s="295"/>
      <c r="F154" s="295"/>
      <c r="G154" s="295"/>
      <c r="H154" s="295"/>
      <c r="I154" s="295"/>
      <c r="J154" s="295"/>
      <c r="K154" s="295"/>
      <c r="L154" s="295"/>
      <c r="M154" s="295"/>
      <c r="N154" s="295"/>
      <c r="O154" s="295"/>
    </row>
    <row r="155" s="48" customFormat="1" ht="12.75"/>
    <row r="156" s="48" customFormat="1" ht="12.75"/>
    <row r="157" s="48" customFormat="1" ht="12.75"/>
    <row r="158" s="48" customFormat="1" ht="12.75"/>
    <row r="159" s="48" customFormat="1" ht="12.75"/>
    <row r="160" s="48" customFormat="1" ht="12.75"/>
    <row r="161" s="48" customFormat="1" ht="12.75"/>
    <row r="162" s="48" customFormat="1" ht="12.75"/>
    <row r="163" s="48" customFormat="1" ht="12.75"/>
    <row r="164" s="48" customFormat="1" ht="12.75"/>
    <row r="165" s="48" customFormat="1" ht="12.75"/>
    <row r="166" s="48" customFormat="1" ht="12.75"/>
    <row r="167" s="48" customFormat="1" ht="12.75"/>
    <row r="168" s="48" customFormat="1" ht="12.75"/>
    <row r="169" s="48" customFormat="1" ht="12.75"/>
    <row r="170" s="48" customFormat="1" ht="12.75"/>
    <row r="171" s="48" customFormat="1" ht="12.75"/>
    <row r="172" s="48" customFormat="1" ht="12.75"/>
    <row r="173" s="48" customFormat="1" ht="12.75"/>
    <row r="174" s="48" customFormat="1" ht="12.75"/>
    <row r="175" s="48" customFormat="1" ht="12.75"/>
    <row r="176" s="48" customFormat="1" ht="12.75"/>
    <row r="177" s="48" customFormat="1" ht="12.75"/>
    <row r="178" s="48" customFormat="1" ht="12.75"/>
    <row r="179" s="48" customFormat="1" ht="12.75"/>
    <row r="180" s="48" customFormat="1" ht="12.75"/>
    <row r="181" s="48" customFormat="1" ht="12.75"/>
    <row r="182" s="48" customFormat="1" ht="12.75"/>
    <row r="183" s="48" customFormat="1" ht="12.75"/>
    <row r="184" s="48" customFormat="1" ht="12.75"/>
    <row r="185" s="48" customFormat="1" ht="12.75"/>
    <row r="186" s="48" customFormat="1" ht="12.75"/>
    <row r="187" s="48" customFormat="1" ht="12.75"/>
    <row r="188" s="48" customFormat="1" ht="12.75"/>
    <row r="189" s="48" customFormat="1" ht="12.75"/>
    <row r="190" s="48" customFormat="1" ht="12.75"/>
    <row r="191" s="48" customFormat="1" ht="12.75"/>
    <row r="192" s="48" customFormat="1" ht="12.75"/>
    <row r="193" s="48" customFormat="1" ht="12.75"/>
    <row r="194" s="48" customFormat="1" ht="12.75"/>
    <row r="195" s="48" customFormat="1" ht="12.75"/>
    <row r="196" s="48" customFormat="1" ht="12.75"/>
    <row r="197" s="48" customFormat="1" ht="12.75"/>
    <row r="198" s="48" customFormat="1" ht="12.75"/>
    <row r="199" s="48" customFormat="1" ht="12.75"/>
    <row r="200" s="48" customFormat="1" ht="12.75"/>
    <row r="201" s="48" customFormat="1" ht="12.75"/>
    <row r="202" s="48" customFormat="1" ht="12.75"/>
    <row r="203" s="48" customFormat="1" ht="12.75"/>
    <row r="204" s="48" customFormat="1" ht="12.75"/>
    <row r="205" s="48" customFormat="1" ht="12.75"/>
    <row r="206" s="48" customFormat="1" ht="12.75"/>
    <row r="207" s="48" customFormat="1" ht="12.75"/>
    <row r="208" s="48" customFormat="1" ht="12.75"/>
    <row r="209" s="48" customFormat="1" ht="12.75"/>
    <row r="210" s="48" customFormat="1" ht="12.75"/>
    <row r="211" s="48" customFormat="1" ht="12.75"/>
    <row r="212" s="48" customFormat="1" ht="12.75"/>
  </sheetData>
  <sheetProtection sheet="1" objects="1" scenarios="1" insertColumns="0" insertRows="0"/>
  <mergeCells count="3">
    <mergeCell ref="O8:O10"/>
    <mergeCell ref="H9:I9"/>
    <mergeCell ref="N8:N10"/>
  </mergeCells>
  <dataValidations count="5">
    <dataValidation promptTitle="Units" prompt="Select the unit that corresponds to the measure and quantity indicated." errorTitle="Unit Value not Recognized" error="The unit value for this measure is not recognized.  Please add this unit value to the list at the bottom of this spreadsheet by inserting a new cell above the orange cell and entering this value." sqref="L42:L55 L57:L58 G11:H31 L33 K11:L31"/>
    <dataValidation allowBlank="1" showInputMessage="1" showErrorMessage="1" promptTitle="Partner Fees" prompt="Enter the total Partner Fee to provide the modeling service required under the Multifamily Performance Program.  Fees should be entered for just a single building, if more than one identical building (= Partner Fee ÷ # of identical buildings)." sqref="J59"/>
    <dataValidation allowBlank="1" showInputMessage="1" showErrorMessage="1" promptTitle="Partner Fees" prompt="Enter the total Partner Fee to provide the inspection service required under the Multifamily Performance Program.  Fees should be entered for just a single building, if more than one identical building (= Partner Fee ÷ # of identical buildings)." sqref="J60"/>
    <dataValidation allowBlank="1" showInputMessage="1" showErrorMessage="1" promptTitle="Partner Fees" prompt="Enter the total Partner Fee to provide the other services.  Fees should be entered for just a single building, if more than one identical building (= Partner Fee ÷ # of identical buildings)." sqref="J61"/>
    <dataValidation showErrorMessage="1" promptTitle="Units" prompt="Select the unit that corresponds to the measure and quantity indicated." errorTitle="Unit Value not Recognized" error="The unit value for this measure is not recognized.  Please add this unit value to the list at the bottom of this spreadsheet by inserting a new cell above the orange cell and entering this value." sqref="I11:I31"/>
  </dataValidations>
  <printOptions/>
  <pageMargins left="0.5" right="0.5" top="1" bottom="1" header="0.5" footer="0.5"/>
  <pageSetup fitToHeight="1" fitToWidth="1" horizontalDpi="600" verticalDpi="600" orientation="landscape" scale="38" r:id="rId1"/>
  <colBreaks count="1" manualBreakCount="1">
    <brk id="13" max="65535" man="1"/>
  </colBreaks>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D185"/>
  <sheetViews>
    <sheetView showGridLines="0" zoomScale="85" zoomScaleNormal="85" zoomScalePageLayoutView="85" workbookViewId="0" topLeftCell="A1">
      <selection activeCell="P178" sqref="P178"/>
    </sheetView>
  </sheetViews>
  <sheetFormatPr defaultColWidth="9.140625" defaultRowHeight="12.75"/>
  <cols>
    <col min="1" max="1" width="0.85546875" style="74" customWidth="1"/>
    <col min="2" max="2" width="12.140625" style="74" customWidth="1"/>
    <col min="3" max="3" width="12.28125" style="74" customWidth="1"/>
    <col min="4" max="4" width="10.421875" style="74" customWidth="1"/>
    <col min="5" max="10" width="10.00390625" style="74" customWidth="1"/>
    <col min="11" max="11" width="9.421875" style="74" customWidth="1"/>
    <col min="12" max="12" width="0.9921875" style="74" customWidth="1"/>
    <col min="13" max="29" width="9.140625" style="74" customWidth="1"/>
    <col min="30" max="30" width="0" style="74" hidden="1" customWidth="1"/>
    <col min="31" max="16384" width="9.140625" style="74" customWidth="1"/>
  </cols>
  <sheetData>
    <row r="1" spans="1:12" ht="12.75">
      <c r="A1" s="305"/>
      <c r="B1" s="305"/>
      <c r="C1" s="305"/>
      <c r="D1" s="305"/>
      <c r="E1" s="305"/>
      <c r="F1" s="305"/>
      <c r="G1" s="305"/>
      <c r="H1" s="305"/>
      <c r="I1" s="305"/>
      <c r="J1" s="305"/>
      <c r="K1" s="305"/>
      <c r="L1" s="305"/>
    </row>
    <row r="2" spans="1:12" ht="20.25" customHeight="1">
      <c r="A2" s="305"/>
      <c r="B2" s="1220" t="s">
        <v>588</v>
      </c>
      <c r="C2" s="1221"/>
      <c r="D2" s="1221"/>
      <c r="E2" s="1221"/>
      <c r="F2" s="1221"/>
      <c r="G2" s="1221"/>
      <c r="H2" s="1221"/>
      <c r="I2" s="1221"/>
      <c r="J2" s="1221"/>
      <c r="K2" s="1221"/>
      <c r="L2" s="305"/>
    </row>
    <row r="3" spans="1:12" ht="21.75" customHeight="1">
      <c r="A3" s="305"/>
      <c r="B3" s="1221"/>
      <c r="C3" s="1221"/>
      <c r="D3" s="1221"/>
      <c r="E3" s="1221"/>
      <c r="F3" s="1221"/>
      <c r="G3" s="1221"/>
      <c r="H3" s="1221"/>
      <c r="I3" s="1221"/>
      <c r="J3" s="1221"/>
      <c r="K3" s="1221"/>
      <c r="L3" s="305"/>
    </row>
    <row r="4" spans="1:12" ht="15">
      <c r="A4" s="1223" t="s">
        <v>683</v>
      </c>
      <c r="B4" s="1223"/>
      <c r="C4" s="1223"/>
      <c r="D4" s="1223"/>
      <c r="E4" s="1223"/>
      <c r="F4" s="1223"/>
      <c r="G4" s="1223"/>
      <c r="H4" s="1223"/>
      <c r="I4" s="1223"/>
      <c r="J4" s="1223"/>
      <c r="K4" s="1223"/>
      <c r="L4" s="1223"/>
    </row>
    <row r="5" spans="1:12" ht="12.75">
      <c r="A5" s="81"/>
      <c r="B5" s="81"/>
      <c r="C5" s="81"/>
      <c r="D5" s="81"/>
      <c r="E5" s="81"/>
      <c r="F5" s="81"/>
      <c r="G5" s="81"/>
      <c r="H5" s="81"/>
      <c r="I5" s="81"/>
      <c r="J5" s="81"/>
      <c r="K5" s="81"/>
      <c r="L5" s="81"/>
    </row>
    <row r="6" spans="1:12" ht="12.75" customHeight="1">
      <c r="A6" s="305"/>
      <c r="B6" s="306" t="s">
        <v>247</v>
      </c>
      <c r="C6" s="305"/>
      <c r="D6" s="305"/>
      <c r="E6" s="305"/>
      <c r="F6" s="305"/>
      <c r="G6" s="305"/>
      <c r="H6" s="305"/>
      <c r="I6" s="305"/>
      <c r="J6" s="305"/>
      <c r="K6" s="305"/>
      <c r="L6" s="305"/>
    </row>
    <row r="7" spans="1:13" ht="12.75" customHeight="1">
      <c r="A7" s="305"/>
      <c r="B7" s="1208" t="s">
        <v>589</v>
      </c>
      <c r="C7" s="1208"/>
      <c r="D7" s="1208"/>
      <c r="E7" s="1208"/>
      <c r="F7" s="1208"/>
      <c r="G7" s="1208"/>
      <c r="H7" s="1208"/>
      <c r="I7" s="1208"/>
      <c r="J7" s="1208"/>
      <c r="K7" s="1208"/>
      <c r="L7" s="305"/>
      <c r="M7" s="75"/>
    </row>
    <row r="8" spans="1:12" ht="12.75">
      <c r="A8" s="305"/>
      <c r="B8" s="1208"/>
      <c r="C8" s="1208"/>
      <c r="D8" s="1208"/>
      <c r="E8" s="1208"/>
      <c r="F8" s="1208"/>
      <c r="G8" s="1208"/>
      <c r="H8" s="1208"/>
      <c r="I8" s="1208"/>
      <c r="J8" s="1208"/>
      <c r="K8" s="1208"/>
      <c r="L8" s="305"/>
    </row>
    <row r="9" spans="1:12" ht="12.75">
      <c r="A9" s="305"/>
      <c r="B9" s="1208"/>
      <c r="C9" s="1208"/>
      <c r="D9" s="1208"/>
      <c r="E9" s="1208"/>
      <c r="F9" s="1208"/>
      <c r="G9" s="1208"/>
      <c r="H9" s="1208"/>
      <c r="I9" s="1208"/>
      <c r="J9" s="1208"/>
      <c r="K9" s="1208"/>
      <c r="L9" s="305"/>
    </row>
    <row r="10" spans="1:12" ht="12.75">
      <c r="A10" s="81"/>
      <c r="B10" s="1208"/>
      <c r="C10" s="1208"/>
      <c r="D10" s="1208"/>
      <c r="E10" s="1208"/>
      <c r="F10" s="1208"/>
      <c r="G10" s="1208"/>
      <c r="H10" s="1208"/>
      <c r="I10" s="1208"/>
      <c r="J10" s="1208"/>
      <c r="K10" s="1208"/>
      <c r="L10" s="81"/>
    </row>
    <row r="11" spans="1:12" ht="12.75" customHeight="1">
      <c r="A11" s="81"/>
      <c r="B11" s="1216" t="s">
        <v>684</v>
      </c>
      <c r="C11" s="1218"/>
      <c r="D11" s="1218"/>
      <c r="E11" s="1218"/>
      <c r="F11" s="1218"/>
      <c r="G11" s="1218"/>
      <c r="H11" s="1218"/>
      <c r="I11" s="1218"/>
      <c r="J11" s="1218"/>
      <c r="K11" s="1218"/>
      <c r="L11" s="81"/>
    </row>
    <row r="12" spans="1:12" ht="12.75">
      <c r="A12" s="81"/>
      <c r="B12" s="1224" t="s">
        <v>685</v>
      </c>
      <c r="C12" s="1224"/>
      <c r="D12" s="1224"/>
      <c r="E12" s="1224"/>
      <c r="F12" s="1224"/>
      <c r="G12" s="1224"/>
      <c r="H12" s="1224"/>
      <c r="I12" s="1224"/>
      <c r="J12" s="1224"/>
      <c r="K12" s="1224"/>
      <c r="L12" s="81"/>
    </row>
    <row r="13" spans="1:12" ht="12.75">
      <c r="A13" s="81"/>
      <c r="B13" s="1224" t="s">
        <v>686</v>
      </c>
      <c r="C13" s="1224"/>
      <c r="D13" s="1224"/>
      <c r="E13" s="1224"/>
      <c r="F13" s="1224"/>
      <c r="G13" s="1224"/>
      <c r="H13" s="1224"/>
      <c r="I13" s="1224"/>
      <c r="J13" s="1224"/>
      <c r="K13" s="1224"/>
      <c r="L13" s="81"/>
    </row>
    <row r="14" spans="1:12" ht="12.75">
      <c r="A14" s="81"/>
      <c r="B14" s="1224" t="s">
        <v>687</v>
      </c>
      <c r="C14" s="1224"/>
      <c r="D14" s="1224"/>
      <c r="E14" s="1224"/>
      <c r="F14" s="1224"/>
      <c r="G14" s="1224"/>
      <c r="H14" s="1224"/>
      <c r="I14" s="1224"/>
      <c r="J14" s="1224"/>
      <c r="K14" s="1224"/>
      <c r="L14" s="81"/>
    </row>
    <row r="15" spans="1:12" ht="12.75">
      <c r="A15" s="81"/>
      <c r="B15" s="1224" t="s">
        <v>688</v>
      </c>
      <c r="C15" s="1224"/>
      <c r="D15" s="1224"/>
      <c r="E15" s="1224"/>
      <c r="F15" s="1224"/>
      <c r="G15" s="1224"/>
      <c r="H15" s="1224"/>
      <c r="I15" s="1224"/>
      <c r="J15" s="1224"/>
      <c r="K15" s="1224"/>
      <c r="L15" s="81"/>
    </row>
    <row r="16" spans="1:12" ht="12.75">
      <c r="A16" s="81"/>
      <c r="B16" s="81"/>
      <c r="C16" s="81"/>
      <c r="D16" s="81"/>
      <c r="E16" s="81"/>
      <c r="F16" s="81"/>
      <c r="G16" s="81"/>
      <c r="H16" s="81"/>
      <c r="I16" s="81"/>
      <c r="J16" s="81"/>
      <c r="K16" s="81"/>
      <c r="L16" s="81"/>
    </row>
    <row r="17" spans="1:12" ht="12.75">
      <c r="A17" s="81"/>
      <c r="B17" s="1216" t="s">
        <v>689</v>
      </c>
      <c r="C17" s="1217"/>
      <c r="D17" s="1217"/>
      <c r="E17" s="1217"/>
      <c r="F17" s="1217"/>
      <c r="G17" s="1217"/>
      <c r="H17" s="1217"/>
      <c r="I17" s="1217"/>
      <c r="J17" s="1217"/>
      <c r="K17" s="1217"/>
      <c r="L17" s="81"/>
    </row>
    <row r="18" spans="1:12" ht="12.75" customHeight="1">
      <c r="A18" s="81"/>
      <c r="B18" s="307" t="s">
        <v>690</v>
      </c>
      <c r="C18" s="1218" t="s">
        <v>691</v>
      </c>
      <c r="D18" s="1218"/>
      <c r="E18" s="1218"/>
      <c r="F18" s="1218"/>
      <c r="G18" s="1218"/>
      <c r="H18" s="1218"/>
      <c r="I18" s="1218"/>
      <c r="J18" s="1218"/>
      <c r="K18" s="1218"/>
      <c r="L18" s="81"/>
    </row>
    <row r="19" spans="1:12" ht="12.75" customHeight="1">
      <c r="A19" s="81"/>
      <c r="B19" s="307" t="s">
        <v>692</v>
      </c>
      <c r="C19" s="1218" t="s">
        <v>693</v>
      </c>
      <c r="D19" s="1218"/>
      <c r="E19" s="1218"/>
      <c r="F19" s="1218"/>
      <c r="G19" s="1218"/>
      <c r="H19" s="1218"/>
      <c r="I19" s="1218"/>
      <c r="J19" s="1218"/>
      <c r="K19" s="1218"/>
      <c r="L19" s="81"/>
    </row>
    <row r="20" spans="1:12" ht="12.75" customHeight="1">
      <c r="A20" s="81"/>
      <c r="B20" s="307" t="s">
        <v>694</v>
      </c>
      <c r="C20" s="1218" t="s">
        <v>695</v>
      </c>
      <c r="D20" s="1218"/>
      <c r="E20" s="1218"/>
      <c r="F20" s="1218"/>
      <c r="G20" s="1218"/>
      <c r="H20" s="1218"/>
      <c r="I20" s="1218"/>
      <c r="J20" s="1218"/>
      <c r="K20" s="1218"/>
      <c r="L20" s="81"/>
    </row>
    <row r="21" spans="1:12" ht="12.75" customHeight="1">
      <c r="A21" s="81"/>
      <c r="B21" s="307" t="s">
        <v>696</v>
      </c>
      <c r="C21" s="1218" t="s">
        <v>697</v>
      </c>
      <c r="D21" s="1218"/>
      <c r="E21" s="1218"/>
      <c r="F21" s="1218"/>
      <c r="G21" s="1218"/>
      <c r="H21" s="1218"/>
      <c r="I21" s="1218"/>
      <c r="J21" s="1218"/>
      <c r="K21" s="1218"/>
      <c r="L21" s="81"/>
    </row>
    <row r="22" spans="1:12" ht="12.75" customHeight="1">
      <c r="A22" s="81"/>
      <c r="B22" s="307" t="s">
        <v>698</v>
      </c>
      <c r="C22" s="1218" t="s">
        <v>699</v>
      </c>
      <c r="D22" s="1218"/>
      <c r="E22" s="1218"/>
      <c r="F22" s="1218"/>
      <c r="G22" s="1218"/>
      <c r="H22" s="1218"/>
      <c r="I22" s="1218"/>
      <c r="J22" s="1218"/>
      <c r="K22" s="1218"/>
      <c r="L22" s="81"/>
    </row>
    <row r="23" spans="1:12" ht="12.75">
      <c r="A23" s="81"/>
      <c r="B23" s="307" t="s">
        <v>700</v>
      </c>
      <c r="C23" s="1218" t="s">
        <v>701</v>
      </c>
      <c r="D23" s="1218"/>
      <c r="E23" s="1218"/>
      <c r="F23" s="1218"/>
      <c r="G23" s="1218"/>
      <c r="H23" s="1218"/>
      <c r="I23" s="1218"/>
      <c r="J23" s="1218"/>
      <c r="K23" s="1218"/>
      <c r="L23" s="81"/>
    </row>
    <row r="24" spans="1:12" ht="12.75">
      <c r="A24" s="81"/>
      <c r="B24" s="81"/>
      <c r="C24" s="81"/>
      <c r="D24" s="81"/>
      <c r="E24" s="81"/>
      <c r="F24" s="81"/>
      <c r="G24" s="81"/>
      <c r="H24" s="81"/>
      <c r="I24" s="81"/>
      <c r="J24" s="81"/>
      <c r="K24" s="81"/>
      <c r="L24" s="81"/>
    </row>
    <row r="25" spans="1:12" ht="12.75">
      <c r="A25" s="81"/>
      <c r="B25" s="81"/>
      <c r="C25" s="81"/>
      <c r="D25" s="81"/>
      <c r="E25" s="81"/>
      <c r="F25" s="81"/>
      <c r="G25" s="81"/>
      <c r="H25" s="81"/>
      <c r="I25" s="81"/>
      <c r="J25" s="81"/>
      <c r="K25" s="81"/>
      <c r="L25" s="81"/>
    </row>
    <row r="26" spans="1:12" ht="12.75">
      <c r="A26" s="81"/>
      <c r="B26" s="81"/>
      <c r="C26" s="81"/>
      <c r="D26" s="81"/>
      <c r="E26" s="81"/>
      <c r="F26" s="81"/>
      <c r="G26" s="81"/>
      <c r="H26" s="86"/>
      <c r="I26" s="86"/>
      <c r="J26" s="86"/>
      <c r="K26" s="86"/>
      <c r="L26" s="81"/>
    </row>
    <row r="27" spans="1:12" ht="14.25">
      <c r="A27" s="305"/>
      <c r="B27" s="306" t="s">
        <v>582</v>
      </c>
      <c r="C27" s="305"/>
      <c r="D27" s="305"/>
      <c r="E27" s="305"/>
      <c r="F27" s="305"/>
      <c r="G27" s="308" t="s">
        <v>583</v>
      </c>
      <c r="H27" s="1219"/>
      <c r="I27" s="1219"/>
      <c r="J27" s="1219"/>
      <c r="K27" s="1219"/>
      <c r="L27" s="305"/>
    </row>
    <row r="28" spans="1:12" ht="17.25" customHeight="1">
      <c r="A28" s="305"/>
      <c r="B28" s="1208" t="s">
        <v>584</v>
      </c>
      <c r="C28" s="1208"/>
      <c r="D28" s="1208"/>
      <c r="E28" s="1208"/>
      <c r="F28" s="309"/>
      <c r="G28" s="308" t="s">
        <v>585</v>
      </c>
      <c r="H28" s="1219"/>
      <c r="I28" s="1219"/>
      <c r="J28" s="1219"/>
      <c r="K28" s="1219"/>
      <c r="L28" s="305"/>
    </row>
    <row r="29" spans="1:12" ht="17.25" customHeight="1">
      <c r="A29" s="305"/>
      <c r="B29" s="1208"/>
      <c r="C29" s="1208"/>
      <c r="D29" s="1208"/>
      <c r="E29" s="1208"/>
      <c r="F29" s="309"/>
      <c r="G29" s="308" t="s">
        <v>586</v>
      </c>
      <c r="H29" s="1222"/>
      <c r="I29" s="1222"/>
      <c r="J29" s="1222"/>
      <c r="K29" s="1222"/>
      <c r="L29" s="305"/>
    </row>
    <row r="30" spans="1:12" ht="17.25" customHeight="1">
      <c r="A30" s="305"/>
      <c r="B30" s="1208"/>
      <c r="C30" s="1208"/>
      <c r="D30" s="1208"/>
      <c r="E30" s="1208"/>
      <c r="F30" s="309"/>
      <c r="G30" s="305"/>
      <c r="H30" s="305"/>
      <c r="I30" s="305"/>
      <c r="J30" s="305"/>
      <c r="K30" s="305"/>
      <c r="L30" s="305"/>
    </row>
    <row r="31" spans="1:12" ht="17.25" customHeight="1">
      <c r="A31" s="305"/>
      <c r="B31" s="310"/>
      <c r="C31" s="310"/>
      <c r="D31" s="310"/>
      <c r="E31" s="310"/>
      <c r="F31" s="309"/>
      <c r="G31" s="308"/>
      <c r="H31" s="311"/>
      <c r="I31" s="311"/>
      <c r="J31" s="311"/>
      <c r="K31" s="311"/>
      <c r="L31" s="305"/>
    </row>
    <row r="32" spans="1:12" ht="14.25">
      <c r="A32" s="305"/>
      <c r="B32" s="306" t="s">
        <v>587</v>
      </c>
      <c r="C32" s="305"/>
      <c r="D32" s="305"/>
      <c r="E32" s="305"/>
      <c r="F32" s="305"/>
      <c r="G32" s="308" t="s">
        <v>583</v>
      </c>
      <c r="H32" s="1219"/>
      <c r="I32" s="1219"/>
      <c r="J32" s="1219"/>
      <c r="K32" s="1219"/>
      <c r="L32" s="305"/>
    </row>
    <row r="33" spans="1:12" ht="17.25" customHeight="1">
      <c r="A33" s="305"/>
      <c r="B33" s="1208" t="s">
        <v>584</v>
      </c>
      <c r="C33" s="1208"/>
      <c r="D33" s="1208"/>
      <c r="E33" s="1208"/>
      <c r="F33" s="309"/>
      <c r="G33" s="308" t="s">
        <v>585</v>
      </c>
      <c r="H33" s="1219"/>
      <c r="I33" s="1219"/>
      <c r="J33" s="1219"/>
      <c r="K33" s="1219"/>
      <c r="L33" s="305"/>
    </row>
    <row r="34" spans="1:12" ht="17.25" customHeight="1">
      <c r="A34" s="305"/>
      <c r="B34" s="1208"/>
      <c r="C34" s="1208"/>
      <c r="D34" s="1208"/>
      <c r="E34" s="1208"/>
      <c r="F34" s="309"/>
      <c r="G34" s="308" t="s">
        <v>586</v>
      </c>
      <c r="H34" s="1227"/>
      <c r="I34" s="1227"/>
      <c r="J34" s="1227"/>
      <c r="K34" s="1227"/>
      <c r="L34" s="305"/>
    </row>
    <row r="35" spans="1:12" ht="17.25" customHeight="1">
      <c r="A35" s="305"/>
      <c r="B35" s="1208"/>
      <c r="C35" s="1208"/>
      <c r="D35" s="1208"/>
      <c r="E35" s="1208"/>
      <c r="F35" s="309"/>
      <c r="G35" s="305"/>
      <c r="H35" s="305"/>
      <c r="I35" s="305"/>
      <c r="J35" s="305"/>
      <c r="K35" s="305"/>
      <c r="L35" s="305"/>
    </row>
    <row r="36" spans="1:12" ht="12.75">
      <c r="A36" s="305"/>
      <c r="B36" s="312"/>
      <c r="C36" s="305"/>
      <c r="D36" s="305"/>
      <c r="E36" s="305"/>
      <c r="F36" s="305"/>
      <c r="G36" s="308"/>
      <c r="H36" s="305"/>
      <c r="I36" s="305"/>
      <c r="J36" s="305"/>
      <c r="K36" s="305"/>
      <c r="L36" s="305"/>
    </row>
    <row r="37" spans="1:12" ht="12.75">
      <c r="A37" s="305"/>
      <c r="B37" s="312"/>
      <c r="C37" s="305"/>
      <c r="D37" s="305"/>
      <c r="E37" s="305"/>
      <c r="F37" s="305"/>
      <c r="G37" s="308"/>
      <c r="H37" s="305"/>
      <c r="I37" s="305"/>
      <c r="J37" s="305"/>
      <c r="K37" s="305"/>
      <c r="L37" s="305"/>
    </row>
    <row r="38" spans="1:12" ht="16.5" thickBot="1">
      <c r="A38" s="305"/>
      <c r="B38" s="313" t="s">
        <v>455</v>
      </c>
      <c r="C38" s="305"/>
      <c r="D38" s="305"/>
      <c r="E38" s="305"/>
      <c r="F38" s="305"/>
      <c r="G38" s="305"/>
      <c r="H38" s="305"/>
      <c r="I38" s="305"/>
      <c r="J38" s="305"/>
      <c r="K38" s="305"/>
      <c r="L38" s="305"/>
    </row>
    <row r="39" spans="1:12" ht="12.75">
      <c r="A39" s="305"/>
      <c r="B39" s="1225" t="s">
        <v>456</v>
      </c>
      <c r="C39" s="1210"/>
      <c r="D39" s="1211">
        <f>'Reporting Summary'!D7:F7</f>
        <v>0</v>
      </c>
      <c r="E39" s="1212"/>
      <c r="F39" s="1213"/>
      <c r="G39" s="1226" t="s">
        <v>457</v>
      </c>
      <c r="H39" s="1210"/>
      <c r="I39" s="1211">
        <f>'Reporting Summary'!I7:L7</f>
        <v>0</v>
      </c>
      <c r="J39" s="1212"/>
      <c r="K39" s="1215"/>
      <c r="L39" s="305"/>
    </row>
    <row r="40" spans="1:12" ht="12.75">
      <c r="A40" s="305"/>
      <c r="B40" s="1228" t="s">
        <v>458</v>
      </c>
      <c r="C40" s="1195"/>
      <c r="D40" s="1229">
        <f>'Reporting Summary'!D8:F8</f>
        <v>0</v>
      </c>
      <c r="E40" s="1230"/>
      <c r="F40" s="1231"/>
      <c r="G40" s="1197" t="s">
        <v>459</v>
      </c>
      <c r="H40" s="1195"/>
      <c r="I40" s="1051">
        <f>'Reporting Summary'!I8:L8</f>
        <v>0</v>
      </c>
      <c r="J40" s="1052"/>
      <c r="K40" s="1053"/>
      <c r="L40" s="305"/>
    </row>
    <row r="41" spans="1:12" ht="12.75">
      <c r="A41" s="305"/>
      <c r="B41" s="1194" t="s">
        <v>460</v>
      </c>
      <c r="C41" s="1195"/>
      <c r="D41" s="1051">
        <f>'Reporting Summary'!D9:F9</f>
        <v>0</v>
      </c>
      <c r="E41" s="1052"/>
      <c r="F41" s="1196"/>
      <c r="G41" s="1197" t="s">
        <v>461</v>
      </c>
      <c r="H41" s="1195"/>
      <c r="I41" s="1051">
        <f>'Reporting Summary'!I9:L9</f>
        <v>0</v>
      </c>
      <c r="J41" s="1052"/>
      <c r="K41" s="1053"/>
      <c r="L41" s="305"/>
    </row>
    <row r="42" spans="1:12" ht="12.75">
      <c r="A42" s="305"/>
      <c r="B42" s="1194" t="s">
        <v>462</v>
      </c>
      <c r="C42" s="1195"/>
      <c r="D42" s="1051">
        <f>'Reporting Summary'!D10:F10</f>
        <v>0</v>
      </c>
      <c r="E42" s="1052"/>
      <c r="F42" s="1196"/>
      <c r="G42" s="1197" t="s">
        <v>463</v>
      </c>
      <c r="H42" s="1195"/>
      <c r="I42" s="1051">
        <f>'Reporting Summary'!I10:L10</f>
        <v>0</v>
      </c>
      <c r="J42" s="1052"/>
      <c r="K42" s="1053"/>
      <c r="L42" s="305"/>
    </row>
    <row r="43" spans="1:12" ht="13.5" thickBot="1">
      <c r="A43" s="305"/>
      <c r="B43" s="1234" t="s">
        <v>464</v>
      </c>
      <c r="C43" s="1203"/>
      <c r="D43" s="1204">
        <f>'Reporting Summary'!D11:F11</f>
        <v>0</v>
      </c>
      <c r="E43" s="1205"/>
      <c r="F43" s="1206"/>
      <c r="G43" s="1235"/>
      <c r="H43" s="1203"/>
      <c r="I43" s="1102"/>
      <c r="J43" s="1103"/>
      <c r="K43" s="1104"/>
      <c r="L43" s="305"/>
    </row>
    <row r="44" spans="1:12" ht="12.75">
      <c r="A44" s="305"/>
      <c r="B44" s="314"/>
      <c r="C44" s="314"/>
      <c r="D44" s="305"/>
      <c r="E44" s="305"/>
      <c r="F44" s="314"/>
      <c r="G44" s="314"/>
      <c r="H44" s="305"/>
      <c r="I44" s="305"/>
      <c r="J44" s="305"/>
      <c r="K44" s="305"/>
      <c r="L44" s="305"/>
    </row>
    <row r="45" spans="1:12" ht="12.75">
      <c r="A45" s="305"/>
      <c r="B45" s="314"/>
      <c r="C45" s="314"/>
      <c r="D45" s="305"/>
      <c r="E45" s="305"/>
      <c r="F45" s="314"/>
      <c r="G45" s="314"/>
      <c r="H45" s="305"/>
      <c r="I45" s="305"/>
      <c r="J45" s="305"/>
      <c r="K45" s="305"/>
      <c r="L45" s="305"/>
    </row>
    <row r="46" spans="1:12" ht="16.5" thickBot="1">
      <c r="A46" s="305"/>
      <c r="B46" s="313" t="s">
        <v>465</v>
      </c>
      <c r="C46" s="314"/>
      <c r="D46" s="305"/>
      <c r="E46" s="305"/>
      <c r="F46" s="314"/>
      <c r="G46" s="314"/>
      <c r="H46" s="305"/>
      <c r="I46" s="305"/>
      <c r="J46" s="305"/>
      <c r="K46" s="305"/>
      <c r="L46" s="305"/>
    </row>
    <row r="47" spans="1:12" ht="12.75">
      <c r="A47" s="305"/>
      <c r="B47" s="1209" t="s">
        <v>466</v>
      </c>
      <c r="C47" s="1210"/>
      <c r="D47" s="1211">
        <f>'Reporting Summary'!D14:F14</f>
        <v>0</v>
      </c>
      <c r="E47" s="1212"/>
      <c r="F47" s="1213"/>
      <c r="G47" s="1214" t="s">
        <v>467</v>
      </c>
      <c r="H47" s="1210"/>
      <c r="I47" s="1211">
        <f>'Reporting Summary'!I14:L14</f>
        <v>0</v>
      </c>
      <c r="J47" s="1212"/>
      <c r="K47" s="1215"/>
      <c r="L47" s="305"/>
    </row>
    <row r="48" spans="1:12" ht="12.75">
      <c r="A48" s="305"/>
      <c r="B48" s="1194" t="s">
        <v>468</v>
      </c>
      <c r="C48" s="1195"/>
      <c r="D48" s="1051">
        <f>'Reporting Summary'!D15:F15</f>
        <v>0</v>
      </c>
      <c r="E48" s="1052"/>
      <c r="F48" s="1196"/>
      <c r="G48" s="1197" t="s">
        <v>469</v>
      </c>
      <c r="H48" s="1195"/>
      <c r="I48" s="1051">
        <f>'Reporting Summary'!I15:L15</f>
        <v>0</v>
      </c>
      <c r="J48" s="1052"/>
      <c r="K48" s="1053"/>
      <c r="L48" s="305"/>
    </row>
    <row r="49" spans="1:12" ht="12.75">
      <c r="A49" s="305"/>
      <c r="B49" s="1194" t="s">
        <v>461</v>
      </c>
      <c r="C49" s="1195"/>
      <c r="D49" s="1051">
        <f>'Reporting Summary'!D16:F16</f>
        <v>0</v>
      </c>
      <c r="E49" s="1052"/>
      <c r="F49" s="1196"/>
      <c r="G49" s="1197" t="s">
        <v>470</v>
      </c>
      <c r="H49" s="1195"/>
      <c r="I49" s="1051">
        <f>'Reporting Summary'!I16:L16</f>
        <v>0</v>
      </c>
      <c r="J49" s="1052"/>
      <c r="K49" s="1053"/>
      <c r="L49" s="305"/>
    </row>
    <row r="50" spans="1:12" ht="13.5" thickBot="1">
      <c r="A50" s="305"/>
      <c r="B50" s="1202" t="s">
        <v>463</v>
      </c>
      <c r="C50" s="1203"/>
      <c r="D50" s="1204">
        <f>'Reporting Summary'!D17:F17</f>
        <v>0</v>
      </c>
      <c r="E50" s="1205"/>
      <c r="F50" s="1206"/>
      <c r="G50" s="1207"/>
      <c r="H50" s="1203"/>
      <c r="I50" s="1102"/>
      <c r="J50" s="1103"/>
      <c r="K50" s="1104"/>
      <c r="L50" s="305"/>
    </row>
    <row r="51" spans="1:12" ht="12.75">
      <c r="A51" s="305"/>
      <c r="B51" s="314"/>
      <c r="C51" s="314"/>
      <c r="D51" s="305"/>
      <c r="E51" s="305"/>
      <c r="F51" s="314"/>
      <c r="G51" s="314"/>
      <c r="H51" s="305"/>
      <c r="I51" s="305"/>
      <c r="J51" s="305"/>
      <c r="K51" s="305"/>
      <c r="L51" s="305"/>
    </row>
    <row r="52" spans="1:12" ht="12.75">
      <c r="A52" s="305"/>
      <c r="B52" s="314"/>
      <c r="C52" s="314"/>
      <c r="D52" s="305"/>
      <c r="E52" s="305"/>
      <c r="F52" s="314"/>
      <c r="G52" s="314"/>
      <c r="H52" s="305"/>
      <c r="I52" s="305"/>
      <c r="J52" s="305"/>
      <c r="K52" s="305"/>
      <c r="L52" s="305"/>
    </row>
    <row r="53" spans="1:12" ht="16.5" thickBot="1">
      <c r="A53" s="305"/>
      <c r="B53" s="305"/>
      <c r="C53" s="315" t="s">
        <v>471</v>
      </c>
      <c r="D53" s="316"/>
      <c r="E53" s="316"/>
      <c r="F53" s="317"/>
      <c r="G53" s="314"/>
      <c r="H53" s="305"/>
      <c r="I53" s="305"/>
      <c r="J53" s="305"/>
      <c r="K53" s="305"/>
      <c r="L53" s="305"/>
    </row>
    <row r="54" spans="1:12" ht="12.75" customHeight="1">
      <c r="A54" s="305"/>
      <c r="B54" s="305"/>
      <c r="C54" s="1189" t="s">
        <v>472</v>
      </c>
      <c r="D54" s="1190"/>
      <c r="E54" s="1191">
        <f>'Reporting Summary'!D20</f>
        <v>0</v>
      </c>
      <c r="F54" s="1192"/>
      <c r="G54" s="1198" t="s">
        <v>47</v>
      </c>
      <c r="H54" s="1199"/>
      <c r="I54" s="1200">
        <f>'Reporting Summary'!I20:L20</f>
        <v>0</v>
      </c>
      <c r="J54" s="1201"/>
      <c r="K54" s="318"/>
      <c r="L54" s="305"/>
    </row>
    <row r="55" spans="1:12" ht="12.75" customHeight="1">
      <c r="A55" s="305"/>
      <c r="B55" s="305"/>
      <c r="C55" s="1189" t="s">
        <v>473</v>
      </c>
      <c r="D55" s="1190"/>
      <c r="E55" s="1191">
        <f>'Reporting Summary'!D21</f>
        <v>0</v>
      </c>
      <c r="F55" s="1192"/>
      <c r="G55" s="1176" t="s">
        <v>231</v>
      </c>
      <c r="H55" s="1177"/>
      <c r="I55" s="1178">
        <f>'Reporting Summary'!I21:L21</f>
        <v>0</v>
      </c>
      <c r="J55" s="1097"/>
      <c r="K55" s="318"/>
      <c r="L55" s="305"/>
    </row>
    <row r="56" spans="1:12" ht="12.75" customHeight="1">
      <c r="A56" s="305"/>
      <c r="B56" s="305"/>
      <c r="C56" s="1189" t="s">
        <v>475</v>
      </c>
      <c r="D56" s="1190"/>
      <c r="E56" s="1191">
        <f>'Reporting Summary'!D22</f>
        <v>0</v>
      </c>
      <c r="F56" s="1192"/>
      <c r="G56" s="1176" t="s">
        <v>474</v>
      </c>
      <c r="H56" s="1177"/>
      <c r="I56" s="1178">
        <f>'Reporting Summary'!I22:L22</f>
        <v>0</v>
      </c>
      <c r="J56" s="1097"/>
      <c r="K56" s="318"/>
      <c r="L56" s="305"/>
    </row>
    <row r="57" spans="1:12" ht="12.75" customHeight="1">
      <c r="A57" s="305"/>
      <c r="B57" s="305"/>
      <c r="C57" s="1189" t="s">
        <v>702</v>
      </c>
      <c r="D57" s="1190"/>
      <c r="E57" s="1191">
        <f>'Reporting Summary'!D23</f>
        <v>0</v>
      </c>
      <c r="F57" s="1192"/>
      <c r="G57" s="1176" t="s">
        <v>476</v>
      </c>
      <c r="H57" s="1177"/>
      <c r="I57" s="1178">
        <f>'Reporting Summary'!I23:L23</f>
        <v>0</v>
      </c>
      <c r="J57" s="1097"/>
      <c r="K57" s="318"/>
      <c r="L57" s="305"/>
    </row>
    <row r="58" spans="1:12" ht="12.75" customHeight="1">
      <c r="A58" s="305"/>
      <c r="B58" s="305"/>
      <c r="C58" s="1189" t="s">
        <v>703</v>
      </c>
      <c r="D58" s="1190"/>
      <c r="E58" s="1191">
        <f>'Reporting Summary'!D24</f>
        <v>0</v>
      </c>
      <c r="F58" s="1192"/>
      <c r="G58" s="1176" t="s">
        <v>339</v>
      </c>
      <c r="H58" s="1177"/>
      <c r="I58" s="1178">
        <f>'Reporting Summary'!I24:L24</f>
        <v>0</v>
      </c>
      <c r="J58" s="1097"/>
      <c r="K58" s="318"/>
      <c r="L58" s="305"/>
    </row>
    <row r="59" spans="1:12" ht="12.75" customHeight="1">
      <c r="A59" s="305"/>
      <c r="B59" s="305"/>
      <c r="C59" s="1189" t="s">
        <v>704</v>
      </c>
      <c r="D59" s="1190"/>
      <c r="E59" s="1191">
        <f>'Reporting Summary'!D25</f>
        <v>0</v>
      </c>
      <c r="F59" s="1192"/>
      <c r="G59" s="1193" t="s">
        <v>48</v>
      </c>
      <c r="H59" s="1190"/>
      <c r="I59" s="1178">
        <f>'Reporting Summary'!I25:L25</f>
        <v>0</v>
      </c>
      <c r="J59" s="1097"/>
      <c r="K59" s="318"/>
      <c r="L59" s="305"/>
    </row>
    <row r="60" spans="1:12" ht="12.75" customHeight="1">
      <c r="A60" s="305"/>
      <c r="B60" s="305"/>
      <c r="C60" s="1189"/>
      <c r="D60" s="1190"/>
      <c r="E60" s="1191"/>
      <c r="F60" s="1192"/>
      <c r="G60" s="1176" t="s">
        <v>480</v>
      </c>
      <c r="H60" s="1177"/>
      <c r="I60" s="1178">
        <f>'Reporting Summary'!I26:L26</f>
        <v>0</v>
      </c>
      <c r="J60" s="1097"/>
      <c r="K60" s="318"/>
      <c r="L60" s="305"/>
    </row>
    <row r="61" spans="1:12" ht="12.75" customHeight="1">
      <c r="A61" s="305"/>
      <c r="B61" s="305"/>
      <c r="C61" s="319"/>
      <c r="D61" s="320"/>
      <c r="E61" s="1072"/>
      <c r="F61" s="1064"/>
      <c r="G61" s="1176" t="s">
        <v>481</v>
      </c>
      <c r="H61" s="1177"/>
      <c r="I61" s="1178">
        <f>'Reporting Summary'!I27:L27</f>
        <v>0</v>
      </c>
      <c r="J61" s="1097"/>
      <c r="K61" s="318"/>
      <c r="L61" s="305"/>
    </row>
    <row r="62" spans="1:12" ht="12.75" customHeight="1" thickBot="1">
      <c r="A62" s="305"/>
      <c r="B62" s="305"/>
      <c r="C62" s="1179"/>
      <c r="D62" s="1180"/>
      <c r="E62" s="1070"/>
      <c r="F62" s="1071"/>
      <c r="G62" s="1181" t="s">
        <v>482</v>
      </c>
      <c r="H62" s="1182"/>
      <c r="I62" s="1183">
        <f>'Reporting Summary'!I28:L28</f>
        <v>0</v>
      </c>
      <c r="J62" s="1184"/>
      <c r="K62" s="318"/>
      <c r="L62" s="305"/>
    </row>
    <row r="63" spans="1:12" ht="8.25" customHeight="1" thickBot="1">
      <c r="A63" s="305"/>
      <c r="B63" s="321"/>
      <c r="C63" s="321"/>
      <c r="D63" s="321"/>
      <c r="E63" s="321"/>
      <c r="F63" s="321"/>
      <c r="G63" s="305"/>
      <c r="H63" s="305"/>
      <c r="I63" s="305"/>
      <c r="J63" s="305"/>
      <c r="K63" s="305"/>
      <c r="L63" s="305"/>
    </row>
    <row r="64" spans="1:12" ht="15.75" customHeight="1">
      <c r="A64" s="305"/>
      <c r="B64" s="305"/>
      <c r="C64" s="1185" t="s">
        <v>483</v>
      </c>
      <c r="D64" s="1186"/>
      <c r="E64" s="322" t="s">
        <v>333</v>
      </c>
      <c r="F64" s="323" t="s">
        <v>484</v>
      </c>
      <c r="G64" s="322" t="s">
        <v>485</v>
      </c>
      <c r="H64" s="323" t="s">
        <v>486</v>
      </c>
      <c r="I64" s="323" t="s">
        <v>487</v>
      </c>
      <c r="J64" s="324" t="s">
        <v>332</v>
      </c>
      <c r="K64" s="305"/>
      <c r="L64" s="305"/>
    </row>
    <row r="65" spans="1:12" ht="15" customHeight="1">
      <c r="A65" s="305"/>
      <c r="B65" s="305"/>
      <c r="C65" s="1187" t="s">
        <v>99</v>
      </c>
      <c r="D65" s="1188"/>
      <c r="E65" s="325">
        <f>'Reporting Summary'!D31</f>
        <v>0</v>
      </c>
      <c r="F65" s="326">
        <f>'Reporting Summary'!E31</f>
        <v>0</v>
      </c>
      <c r="G65" s="325">
        <f>'Reporting Summary'!F31</f>
        <v>0</v>
      </c>
      <c r="H65" s="326">
        <f>'Reporting Summary'!G31</f>
        <v>0</v>
      </c>
      <c r="I65" s="326">
        <f>'Reporting Summary'!H31</f>
        <v>0</v>
      </c>
      <c r="J65" s="327">
        <f>'Reporting Summary'!I31</f>
        <v>0</v>
      </c>
      <c r="K65" s="305"/>
      <c r="L65" s="305"/>
    </row>
    <row r="66" spans="1:12" ht="15" customHeight="1" thickBot="1">
      <c r="A66" s="305"/>
      <c r="B66" s="305"/>
      <c r="C66" s="1171" t="s">
        <v>49</v>
      </c>
      <c r="D66" s="1172"/>
      <c r="E66" s="328" t="str">
        <f>'Reporting Summary'!D32</f>
        <v>NA</v>
      </c>
      <c r="F66" s="329" t="str">
        <f>'Reporting Summary'!E32</f>
        <v>NA</v>
      </c>
      <c r="G66" s="328" t="str">
        <f>'Reporting Summary'!F32</f>
        <v>NA</v>
      </c>
      <c r="H66" s="329" t="str">
        <f>'Reporting Summary'!G32</f>
        <v>NA</v>
      </c>
      <c r="I66" s="329" t="str">
        <f>'Reporting Summary'!H32</f>
        <v>NA</v>
      </c>
      <c r="J66" s="709" t="e">
        <f>'Reporting Summary'!I32</f>
        <v>#DIV/0!</v>
      </c>
      <c r="K66" s="305"/>
      <c r="L66" s="305"/>
    </row>
    <row r="67" spans="1:12" ht="9.75" customHeight="1">
      <c r="A67" s="305"/>
      <c r="B67" s="305"/>
      <c r="C67" s="305"/>
      <c r="D67" s="305"/>
      <c r="E67" s="305"/>
      <c r="F67" s="305"/>
      <c r="G67" s="305"/>
      <c r="H67" s="305"/>
      <c r="I67" s="305"/>
      <c r="J67" s="305"/>
      <c r="K67" s="305"/>
      <c r="L67" s="305"/>
    </row>
    <row r="68" spans="1:12" ht="9.75" customHeight="1">
      <c r="A68" s="305"/>
      <c r="B68" s="305"/>
      <c r="C68" s="305"/>
      <c r="D68" s="305"/>
      <c r="E68" s="305"/>
      <c r="F68" s="305"/>
      <c r="G68" s="305"/>
      <c r="H68" s="305"/>
      <c r="I68" s="305"/>
      <c r="J68" s="305"/>
      <c r="K68" s="305"/>
      <c r="L68" s="305"/>
    </row>
    <row r="69" spans="1:12" ht="16.5" thickBot="1">
      <c r="A69" s="305"/>
      <c r="B69" s="313" t="s">
        <v>705</v>
      </c>
      <c r="C69" s="305"/>
      <c r="D69" s="305"/>
      <c r="E69" s="305"/>
      <c r="F69" s="305"/>
      <c r="G69" s="305"/>
      <c r="H69" s="305"/>
      <c r="I69" s="305"/>
      <c r="J69" s="305"/>
      <c r="K69" s="305"/>
      <c r="L69" s="305"/>
    </row>
    <row r="70" spans="1:12" ht="38.25" customHeight="1">
      <c r="A70" s="305"/>
      <c r="B70" s="1173" t="s">
        <v>488</v>
      </c>
      <c r="C70" s="1076"/>
      <c r="D70" s="330" t="s">
        <v>489</v>
      </c>
      <c r="E70" s="1075" t="s">
        <v>490</v>
      </c>
      <c r="F70" s="1076"/>
      <c r="G70" s="1077"/>
      <c r="H70" s="1075" t="s">
        <v>491</v>
      </c>
      <c r="I70" s="1174"/>
      <c r="J70" s="1174"/>
      <c r="K70" s="1175"/>
      <c r="L70" s="305"/>
    </row>
    <row r="71" spans="1:12" ht="12.75" customHeight="1">
      <c r="A71" s="305"/>
      <c r="B71" s="1165" t="s">
        <v>591</v>
      </c>
      <c r="C71" s="1166"/>
      <c r="D71" s="1166"/>
      <c r="E71" s="1166"/>
      <c r="F71" s="1166"/>
      <c r="G71" s="1166"/>
      <c r="H71" s="1166"/>
      <c r="I71" s="1166"/>
      <c r="J71" s="1166"/>
      <c r="K71" s="1167"/>
      <c r="L71" s="305"/>
    </row>
    <row r="72" spans="1:12" ht="12.75" customHeight="1">
      <c r="A72" s="305"/>
      <c r="B72" s="1054" t="s">
        <v>592</v>
      </c>
      <c r="C72" s="1055"/>
      <c r="D72" s="331" t="s">
        <v>593</v>
      </c>
      <c r="E72" s="1072" t="s">
        <v>674</v>
      </c>
      <c r="F72" s="1096"/>
      <c r="G72" s="1064"/>
      <c r="H72" s="1168" t="str">
        <f>E72</f>
        <v>72/70</v>
      </c>
      <c r="I72" s="1169"/>
      <c r="J72" s="1169"/>
      <c r="K72" s="1170"/>
      <c r="L72" s="305"/>
    </row>
    <row r="73" spans="1:12" ht="12.75" customHeight="1">
      <c r="A73" s="305"/>
      <c r="B73" s="1054" t="s">
        <v>594</v>
      </c>
      <c r="C73" s="1055"/>
      <c r="D73" s="331" t="s">
        <v>593</v>
      </c>
      <c r="E73" s="934" t="s">
        <v>675</v>
      </c>
      <c r="F73" s="935"/>
      <c r="G73" s="936"/>
      <c r="H73" s="1124" t="str">
        <f>E73</f>
        <v>78/80</v>
      </c>
      <c r="I73" s="1125"/>
      <c r="J73" s="1125"/>
      <c r="K73" s="1126"/>
      <c r="L73" s="305"/>
    </row>
    <row r="74" spans="1:12" ht="12.75" customHeight="1">
      <c r="A74" s="305"/>
      <c r="B74" s="1054" t="s">
        <v>506</v>
      </c>
      <c r="C74" s="1055"/>
      <c r="D74" s="331" t="s">
        <v>595</v>
      </c>
      <c r="E74" s="934">
        <v>12</v>
      </c>
      <c r="F74" s="935"/>
      <c r="G74" s="936"/>
      <c r="H74" s="1124">
        <v>12</v>
      </c>
      <c r="I74" s="1125"/>
      <c r="J74" s="1125"/>
      <c r="K74" s="1126"/>
      <c r="L74" s="305"/>
    </row>
    <row r="75" spans="1:12" ht="12.75" customHeight="1">
      <c r="A75" s="305"/>
      <c r="B75" s="1054" t="s">
        <v>596</v>
      </c>
      <c r="C75" s="1055"/>
      <c r="D75" s="331" t="s">
        <v>595</v>
      </c>
      <c r="E75" s="892"/>
      <c r="F75" s="933"/>
      <c r="G75" s="893"/>
      <c r="H75" s="1128"/>
      <c r="I75" s="1129"/>
      <c r="J75" s="1129"/>
      <c r="K75" s="1130"/>
      <c r="L75" s="305"/>
    </row>
    <row r="76" spans="1:12" ht="12.75" customHeight="1">
      <c r="A76" s="305"/>
      <c r="B76" s="1054" t="s">
        <v>597</v>
      </c>
      <c r="C76" s="1055"/>
      <c r="D76" s="331" t="s">
        <v>595</v>
      </c>
      <c r="E76" s="1072">
        <v>2.34</v>
      </c>
      <c r="F76" s="1096"/>
      <c r="G76" s="1064"/>
      <c r="H76" s="1124">
        <v>2.34</v>
      </c>
      <c r="I76" s="1125"/>
      <c r="J76" s="1125"/>
      <c r="K76" s="1126"/>
      <c r="L76" s="305"/>
    </row>
    <row r="77" spans="1:12" ht="12.75" customHeight="1">
      <c r="A77" s="305"/>
      <c r="B77" s="1165" t="s">
        <v>492</v>
      </c>
      <c r="C77" s="1166"/>
      <c r="D77" s="1166"/>
      <c r="E77" s="1166"/>
      <c r="F77" s="1166"/>
      <c r="G77" s="1166"/>
      <c r="H77" s="1166"/>
      <c r="I77" s="1166"/>
      <c r="J77" s="1166"/>
      <c r="K77" s="1167"/>
      <c r="L77" s="305"/>
    </row>
    <row r="78" spans="1:12" ht="12.75">
      <c r="A78" s="305"/>
      <c r="B78" s="1054" t="s">
        <v>493</v>
      </c>
      <c r="C78" s="1055"/>
      <c r="D78" s="331" t="s">
        <v>497</v>
      </c>
      <c r="E78" s="1119">
        <f>'Reporting Summary'!E47:G47</f>
        <v>0</v>
      </c>
      <c r="F78" s="1120"/>
      <c r="G78" s="1121"/>
      <c r="H78" s="1168">
        <f>'Reporting Summary'!H47:L47</f>
        <v>0</v>
      </c>
      <c r="I78" s="1169"/>
      <c r="J78" s="1169"/>
      <c r="K78" s="1170"/>
      <c r="L78" s="305"/>
    </row>
    <row r="79" spans="1:12" ht="12.75">
      <c r="A79" s="305"/>
      <c r="B79" s="1054" t="s">
        <v>494</v>
      </c>
      <c r="C79" s="1055"/>
      <c r="D79" s="331" t="s">
        <v>497</v>
      </c>
      <c r="E79" s="1072">
        <f>'Reporting Summary'!E48:G48</f>
        <v>0</v>
      </c>
      <c r="F79" s="1096"/>
      <c r="G79" s="1064"/>
      <c r="H79" s="1124">
        <f>'Reporting Summary'!H48:L48</f>
        <v>0</v>
      </c>
      <c r="I79" s="1125"/>
      <c r="J79" s="1125"/>
      <c r="K79" s="1126"/>
      <c r="L79" s="305"/>
    </row>
    <row r="80" spans="1:12" ht="12.75">
      <c r="A80" s="305"/>
      <c r="B80" s="1054" t="s">
        <v>495</v>
      </c>
      <c r="C80" s="1055"/>
      <c r="D80" s="331" t="s">
        <v>163</v>
      </c>
      <c r="E80" s="1072">
        <f>'Reporting Summary'!E49:G49</f>
        <v>0</v>
      </c>
      <c r="F80" s="1096"/>
      <c r="G80" s="1064"/>
      <c r="H80" s="1124">
        <f>'Reporting Summary'!H49:L49</f>
        <v>0</v>
      </c>
      <c r="I80" s="1125"/>
      <c r="J80" s="1125"/>
      <c r="K80" s="1126"/>
      <c r="L80" s="305"/>
    </row>
    <row r="81" spans="1:12" ht="12.75">
      <c r="A81" s="305"/>
      <c r="B81" s="1054" t="s">
        <v>598</v>
      </c>
      <c r="C81" s="1055"/>
      <c r="D81" s="331" t="s">
        <v>599</v>
      </c>
      <c r="E81" s="1095">
        <f>'Reporting Summary'!E50:G50</f>
        <v>0</v>
      </c>
      <c r="F81" s="1156"/>
      <c r="G81" s="1157"/>
      <c r="H81" s="1158">
        <f>'Reporting Summary'!H50:L50</f>
        <v>0</v>
      </c>
      <c r="I81" s="1159"/>
      <c r="J81" s="1159"/>
      <c r="K81" s="1160"/>
      <c r="L81" s="305"/>
    </row>
    <row r="82" spans="1:12" ht="12.75">
      <c r="A82" s="305"/>
      <c r="B82" s="1054" t="s">
        <v>496</v>
      </c>
      <c r="C82" s="1055"/>
      <c r="D82" s="331" t="s">
        <v>497</v>
      </c>
      <c r="E82" s="1095">
        <f>'Reporting Summary'!E51:G51</f>
        <v>0</v>
      </c>
      <c r="F82" s="1156"/>
      <c r="G82" s="1157"/>
      <c r="H82" s="1158">
        <f>'Reporting Summary'!H51:L51</f>
        <v>0</v>
      </c>
      <c r="I82" s="1159"/>
      <c r="J82" s="1159"/>
      <c r="K82" s="1160"/>
      <c r="L82" s="305"/>
    </row>
    <row r="83" spans="1:12" ht="12.75">
      <c r="A83" s="305"/>
      <c r="B83" s="1054" t="s">
        <v>498</v>
      </c>
      <c r="C83" s="1055"/>
      <c r="D83" s="331" t="s">
        <v>499</v>
      </c>
      <c r="E83" s="1095">
        <f>'Reporting Summary'!E52:G52</f>
        <v>0</v>
      </c>
      <c r="F83" s="1156"/>
      <c r="G83" s="1157"/>
      <c r="H83" s="1158">
        <f>'Reporting Summary'!H52:L52</f>
        <v>0</v>
      </c>
      <c r="I83" s="1159"/>
      <c r="J83" s="1159"/>
      <c r="K83" s="1160"/>
      <c r="L83" s="305"/>
    </row>
    <row r="84" spans="1:12" ht="12.75">
      <c r="A84" s="305"/>
      <c r="B84" s="1054" t="s">
        <v>500</v>
      </c>
      <c r="C84" s="1055"/>
      <c r="D84" s="331" t="s">
        <v>499</v>
      </c>
      <c r="E84" s="1095">
        <f>'Reporting Summary'!E53:G53</f>
        <v>0</v>
      </c>
      <c r="F84" s="1156"/>
      <c r="G84" s="1157"/>
      <c r="H84" s="1158">
        <f>'Reporting Summary'!H53:L53</f>
        <v>0</v>
      </c>
      <c r="I84" s="1159"/>
      <c r="J84" s="1159"/>
      <c r="K84" s="1160"/>
      <c r="L84" s="305"/>
    </row>
    <row r="85" spans="1:12" ht="12.75">
      <c r="A85" s="305"/>
      <c r="B85" s="1054" t="s">
        <v>501</v>
      </c>
      <c r="C85" s="1055"/>
      <c r="D85" s="331"/>
      <c r="E85" s="1072">
        <f>'Reporting Summary'!E54:G54</f>
        <v>0</v>
      </c>
      <c r="F85" s="1096"/>
      <c r="G85" s="1064"/>
      <c r="H85" s="1124">
        <f>'Reporting Summary'!H54:L54</f>
        <v>0</v>
      </c>
      <c r="I85" s="1125"/>
      <c r="J85" s="1125"/>
      <c r="K85" s="1126"/>
      <c r="L85" s="305"/>
    </row>
    <row r="86" spans="1:12" ht="12.75" customHeight="1">
      <c r="A86" s="305"/>
      <c r="B86" s="1108" t="s">
        <v>502</v>
      </c>
      <c r="C86" s="1109"/>
      <c r="D86" s="1109"/>
      <c r="E86" s="1109"/>
      <c r="F86" s="1109"/>
      <c r="G86" s="1109"/>
      <c r="H86" s="1109"/>
      <c r="I86" s="1109"/>
      <c r="J86" s="1109"/>
      <c r="K86" s="1110"/>
      <c r="L86" s="305"/>
    </row>
    <row r="87" spans="1:12" ht="12.75" customHeight="1">
      <c r="A87" s="305"/>
      <c r="B87" s="1117" t="s">
        <v>503</v>
      </c>
      <c r="C87" s="1161"/>
      <c r="D87" s="331"/>
      <c r="E87" s="1162"/>
      <c r="F87" s="1163"/>
      <c r="G87" s="1164"/>
      <c r="H87" s="1105"/>
      <c r="I87" s="1106"/>
      <c r="J87" s="1106"/>
      <c r="K87" s="1107"/>
      <c r="L87" s="305"/>
    </row>
    <row r="88" spans="1:12" ht="13.5" customHeight="1">
      <c r="A88" s="305"/>
      <c r="B88" s="1137" t="s">
        <v>504</v>
      </c>
      <c r="C88" s="1155"/>
      <c r="D88" s="331" t="s">
        <v>50</v>
      </c>
      <c r="E88" s="1072" t="str">
        <f>'Reporting Summary'!E57:G57</f>
        <v>1.1 W/SF</v>
      </c>
      <c r="F88" s="1096"/>
      <c r="G88" s="1064"/>
      <c r="H88" s="1134" t="e">
        <f>'Reporting Summary'!H57:I57</f>
        <v>#DIV/0!</v>
      </c>
      <c r="I88" s="1135"/>
      <c r="J88" s="1135"/>
      <c r="K88" s="1136"/>
      <c r="L88" s="305"/>
    </row>
    <row r="89" spans="1:12" ht="12.75" customHeight="1">
      <c r="A89" s="305"/>
      <c r="B89" s="1137" t="s">
        <v>505</v>
      </c>
      <c r="C89" s="1138"/>
      <c r="D89" s="331" t="s">
        <v>50</v>
      </c>
      <c r="E89" s="1131" t="e">
        <f>'Reporting Summary'!E58</f>
        <v>#DIV/0!</v>
      </c>
      <c r="F89" s="1132"/>
      <c r="G89" s="1133"/>
      <c r="H89" s="1134" t="e">
        <f>'Reporting Summary'!H58:I58</f>
        <v>#DIV/0!</v>
      </c>
      <c r="I89" s="1135"/>
      <c r="J89" s="1135"/>
      <c r="K89" s="1136"/>
      <c r="L89" s="305"/>
    </row>
    <row r="90" spans="1:12" ht="13.5" customHeight="1">
      <c r="A90" s="305"/>
      <c r="B90" s="1137" t="s">
        <v>506</v>
      </c>
      <c r="C90" s="1138"/>
      <c r="D90" s="331" t="s">
        <v>84</v>
      </c>
      <c r="E90" s="1095">
        <f>'Reporting Summary'!E59:G59/1000</f>
        <v>0</v>
      </c>
      <c r="F90" s="1156"/>
      <c r="G90" s="1157"/>
      <c r="H90" s="1081">
        <f>'Reporting Summary'!H59:L59/1000</f>
        <v>0</v>
      </c>
      <c r="I90" s="1082"/>
      <c r="J90" s="1082"/>
      <c r="K90" s="1083"/>
      <c r="L90" s="305"/>
    </row>
    <row r="91" spans="1:12" ht="12.75">
      <c r="A91" s="305"/>
      <c r="B91" s="1054" t="s">
        <v>507</v>
      </c>
      <c r="C91" s="1055"/>
      <c r="D91" s="331" t="s">
        <v>600</v>
      </c>
      <c r="E91" s="1139"/>
      <c r="F91" s="1140"/>
      <c r="G91" s="1141"/>
      <c r="H91" s="1128"/>
      <c r="I91" s="1129"/>
      <c r="J91" s="1129"/>
      <c r="K91" s="1130"/>
      <c r="L91" s="305"/>
    </row>
    <row r="92" spans="1:12" ht="12.75">
      <c r="A92" s="305"/>
      <c r="B92" s="1054" t="s">
        <v>601</v>
      </c>
      <c r="C92" s="1066"/>
      <c r="D92" s="331" t="s">
        <v>602</v>
      </c>
      <c r="E92" s="1139"/>
      <c r="F92" s="1140"/>
      <c r="G92" s="1141"/>
      <c r="H92" s="1128"/>
      <c r="I92" s="1129"/>
      <c r="J92" s="1129"/>
      <c r="K92" s="1130"/>
      <c r="L92" s="305"/>
    </row>
    <row r="93" spans="1:12" ht="12.75">
      <c r="A93" s="305"/>
      <c r="B93" s="1137" t="s">
        <v>603</v>
      </c>
      <c r="C93" s="1138"/>
      <c r="D93" s="331" t="s">
        <v>604</v>
      </c>
      <c r="E93" s="1063">
        <f>Appliances!D7</f>
        <v>528.75</v>
      </c>
      <c r="F93" s="1096"/>
      <c r="G93" s="1064"/>
      <c r="H93" s="1081">
        <f>Appliances!C7</f>
        <v>423</v>
      </c>
      <c r="I93" s="1082"/>
      <c r="J93" s="1082"/>
      <c r="K93" s="1083"/>
      <c r="L93" s="305"/>
    </row>
    <row r="94" spans="1:30" ht="12.75">
      <c r="A94" s="305"/>
      <c r="B94" s="1054" t="s">
        <v>605</v>
      </c>
      <c r="C94" s="1066"/>
      <c r="D94" s="331" t="s">
        <v>602</v>
      </c>
      <c r="E94" s="1139"/>
      <c r="F94" s="1140"/>
      <c r="G94" s="1141"/>
      <c r="H94" s="1128"/>
      <c r="I94" s="1129"/>
      <c r="J94" s="1129"/>
      <c r="K94" s="1130"/>
      <c r="L94" s="305"/>
      <c r="AD94" s="74" t="s">
        <v>366</v>
      </c>
    </row>
    <row r="95" spans="1:30" ht="12.75">
      <c r="A95" s="305"/>
      <c r="B95" s="1137" t="s">
        <v>603</v>
      </c>
      <c r="C95" s="1138"/>
      <c r="D95" s="331" t="s">
        <v>604</v>
      </c>
      <c r="E95" s="1063">
        <f>Appliances!D13</f>
        <v>0</v>
      </c>
      <c r="F95" s="1096"/>
      <c r="G95" s="1064"/>
      <c r="H95" s="1145">
        <f>Appliances!C13</f>
        <v>0</v>
      </c>
      <c r="I95" s="1082"/>
      <c r="J95" s="1082"/>
      <c r="K95" s="1083"/>
      <c r="L95" s="305"/>
      <c r="AD95" s="74" t="s">
        <v>373</v>
      </c>
    </row>
    <row r="96" spans="1:12" ht="12.75">
      <c r="A96" s="305"/>
      <c r="B96" s="1137" t="s">
        <v>606</v>
      </c>
      <c r="C96" s="1138"/>
      <c r="D96" s="331" t="s">
        <v>607</v>
      </c>
      <c r="E96" s="1151">
        <f>'DHW Demand'!G8</f>
        <v>0</v>
      </c>
      <c r="F96" s="1096"/>
      <c r="G96" s="1064"/>
      <c r="H96" s="1152">
        <f>'DHW Demand'!G9</f>
        <v>1290</v>
      </c>
      <c r="I96" s="1153"/>
      <c r="J96" s="1153"/>
      <c r="K96" s="1154"/>
      <c r="L96" s="305"/>
    </row>
    <row r="97" spans="1:12" ht="12.75">
      <c r="A97" s="305"/>
      <c r="B97" s="1054" t="s">
        <v>608</v>
      </c>
      <c r="C97" s="1066"/>
      <c r="D97" s="331" t="s">
        <v>602</v>
      </c>
      <c r="E97" s="1139"/>
      <c r="F97" s="1140"/>
      <c r="G97" s="1141"/>
      <c r="H97" s="1128"/>
      <c r="I97" s="1129"/>
      <c r="J97" s="1129"/>
      <c r="K97" s="1130"/>
      <c r="L97" s="305"/>
    </row>
    <row r="98" spans="1:12" ht="12.75">
      <c r="A98" s="305"/>
      <c r="B98" s="1137" t="s">
        <v>603</v>
      </c>
      <c r="C98" s="1138"/>
      <c r="D98" s="331" t="s">
        <v>604</v>
      </c>
      <c r="E98" s="1063">
        <f>Appliances!D16+Appliances!D21</f>
        <v>0</v>
      </c>
      <c r="F98" s="1096"/>
      <c r="G98" s="1064"/>
      <c r="H98" s="1145">
        <f>Appliances!C16+Appliances!C21</f>
        <v>0</v>
      </c>
      <c r="I98" s="1082"/>
      <c r="J98" s="1082"/>
      <c r="K98" s="1083"/>
      <c r="L98" s="305"/>
    </row>
    <row r="99" spans="1:12" ht="12.75">
      <c r="A99" s="305"/>
      <c r="B99" s="1137" t="s">
        <v>606</v>
      </c>
      <c r="C99" s="1138"/>
      <c r="D99" s="331" t="s">
        <v>607</v>
      </c>
      <c r="E99" s="1072">
        <f>'DHW Demand'!G10</f>
        <v>0</v>
      </c>
      <c r="F99" s="1096"/>
      <c r="G99" s="1064"/>
      <c r="H99" s="1145">
        <f>'DHW Demand'!G11</f>
        <v>0</v>
      </c>
      <c r="I99" s="1146"/>
      <c r="J99" s="1146"/>
      <c r="K99" s="1147"/>
      <c r="L99" s="305"/>
    </row>
    <row r="100" spans="1:12" ht="12.75">
      <c r="A100" s="305"/>
      <c r="B100" s="1054" t="s">
        <v>609</v>
      </c>
      <c r="C100" s="1066"/>
      <c r="D100" s="331" t="s">
        <v>602</v>
      </c>
      <c r="E100" s="1056"/>
      <c r="F100" s="1127"/>
      <c r="G100" s="1057"/>
      <c r="H100" s="1128"/>
      <c r="I100" s="1129"/>
      <c r="J100" s="1129"/>
      <c r="K100" s="1130"/>
      <c r="L100" s="305"/>
    </row>
    <row r="101" spans="1:12" ht="12.75">
      <c r="A101" s="305"/>
      <c r="B101" s="1137" t="s">
        <v>255</v>
      </c>
      <c r="C101" s="1138"/>
      <c r="D101" s="331" t="s">
        <v>610</v>
      </c>
      <c r="E101" s="1056"/>
      <c r="F101" s="1127"/>
      <c r="G101" s="1057"/>
      <c r="H101" s="1081">
        <f>E101</f>
        <v>0</v>
      </c>
      <c r="I101" s="1082"/>
      <c r="J101" s="1082"/>
      <c r="K101" s="1083"/>
      <c r="L101" s="305"/>
    </row>
    <row r="102" spans="1:12" ht="12.75">
      <c r="A102" s="305"/>
      <c r="B102" s="1137" t="s">
        <v>603</v>
      </c>
      <c r="C102" s="1138"/>
      <c r="D102" s="331" t="s">
        <v>611</v>
      </c>
      <c r="E102" s="332"/>
      <c r="F102" s="333">
        <f>IF(E101="Electric",Appliances!D19+Appliances!D24,Appliances!K20)</f>
        <v>0</v>
      </c>
      <c r="G102" s="334" t="str">
        <f>IF(E101="Electric","kWh","therms")</f>
        <v>therms</v>
      </c>
      <c r="H102" s="335"/>
      <c r="I102" s="336">
        <f>F102</f>
        <v>0</v>
      </c>
      <c r="J102" s="336" t="str">
        <f>G102</f>
        <v>therms</v>
      </c>
      <c r="K102" s="337"/>
      <c r="L102" s="305"/>
    </row>
    <row r="103" spans="1:12" ht="12.75">
      <c r="A103" s="305"/>
      <c r="B103" s="1054" t="s">
        <v>612</v>
      </c>
      <c r="C103" s="1066"/>
      <c r="D103" s="331" t="s">
        <v>610</v>
      </c>
      <c r="E103" s="1056"/>
      <c r="F103" s="1127"/>
      <c r="G103" s="1057"/>
      <c r="H103" s="1081">
        <f>E103</f>
        <v>0</v>
      </c>
      <c r="I103" s="1082"/>
      <c r="J103" s="1082"/>
      <c r="K103" s="1083"/>
      <c r="L103" s="305"/>
    </row>
    <row r="104" spans="1:12" ht="12.75">
      <c r="A104" s="305"/>
      <c r="B104" s="1137" t="s">
        <v>603</v>
      </c>
      <c r="C104" s="1138"/>
      <c r="D104" s="331" t="s">
        <v>611</v>
      </c>
      <c r="E104" s="338"/>
      <c r="F104" s="339">
        <f>IF(E103="Electric",Appliances!D10,Appliances!K10)</f>
        <v>0</v>
      </c>
      <c r="G104" s="334" t="str">
        <f>IF(E103="Electric","kWh","therms")</f>
        <v>therms</v>
      </c>
      <c r="H104" s="335"/>
      <c r="I104" s="340">
        <f>F104</f>
        <v>0</v>
      </c>
      <c r="J104" s="340" t="str">
        <f>G104</f>
        <v>therms</v>
      </c>
      <c r="K104" s="337"/>
      <c r="L104" s="305"/>
    </row>
    <row r="105" spans="1:12" ht="12.75">
      <c r="A105" s="305"/>
      <c r="B105" s="1054" t="s">
        <v>613</v>
      </c>
      <c r="C105" s="1066"/>
      <c r="D105" s="331" t="s">
        <v>604</v>
      </c>
      <c r="E105" s="1178">
        <f>1.05*'Basic Info'!C15</f>
        <v>0</v>
      </c>
      <c r="F105" s="1232"/>
      <c r="G105" s="1233"/>
      <c r="H105" s="1142">
        <f>E105</f>
        <v>0</v>
      </c>
      <c r="I105" s="1143"/>
      <c r="J105" s="1143"/>
      <c r="K105" s="1144"/>
      <c r="L105" s="305"/>
    </row>
    <row r="106" spans="1:12" ht="12.75">
      <c r="A106" s="305"/>
      <c r="B106" s="1054" t="s">
        <v>614</v>
      </c>
      <c r="C106" s="1066"/>
      <c r="D106" s="331" t="s">
        <v>615</v>
      </c>
      <c r="E106" s="341"/>
      <c r="F106" s="342" t="e">
        <f>('Reporting Summary'!E93-'LEED for Homes Mid-Rise Form'!E105)/(I56+I58)</f>
        <v>#DIV/0!</v>
      </c>
      <c r="G106" s="343" t="s">
        <v>664</v>
      </c>
      <c r="H106" s="344"/>
      <c r="I106" s="345" t="e">
        <f>F106</f>
        <v>#DIV/0!</v>
      </c>
      <c r="J106" s="346" t="s">
        <v>664</v>
      </c>
      <c r="K106" s="347"/>
      <c r="L106" s="305"/>
    </row>
    <row r="107" spans="1:12" ht="12.75">
      <c r="A107" s="305"/>
      <c r="B107" s="1054" t="s">
        <v>616</v>
      </c>
      <c r="C107" s="1066"/>
      <c r="D107" s="331" t="s">
        <v>617</v>
      </c>
      <c r="E107" s="1056"/>
      <c r="F107" s="1127"/>
      <c r="G107" s="1057"/>
      <c r="H107" s="1128"/>
      <c r="I107" s="1129"/>
      <c r="J107" s="1129"/>
      <c r="K107" s="1130"/>
      <c r="L107" s="305"/>
    </row>
    <row r="108" spans="1:12" ht="12.75" customHeight="1">
      <c r="A108" s="305"/>
      <c r="B108" s="1137" t="s">
        <v>603</v>
      </c>
      <c r="C108" s="1138"/>
      <c r="D108" s="331" t="s">
        <v>604</v>
      </c>
      <c r="E108" s="1086" t="str">
        <f>Appliances!I31</f>
        <v>SG, Section 3.11</v>
      </c>
      <c r="F108" s="1087"/>
      <c r="G108" s="1088"/>
      <c r="H108" s="1148">
        <f>Appliances!I32</f>
        <v>0</v>
      </c>
      <c r="I108" s="1149"/>
      <c r="J108" s="1149"/>
      <c r="K108" s="1150"/>
      <c r="L108" s="305"/>
    </row>
    <row r="109" spans="1:12" ht="12.75">
      <c r="A109" s="305"/>
      <c r="B109" s="1108" t="s">
        <v>618</v>
      </c>
      <c r="C109" s="1109"/>
      <c r="D109" s="1109"/>
      <c r="E109" s="1109"/>
      <c r="F109" s="1109"/>
      <c r="G109" s="1109"/>
      <c r="H109" s="1109"/>
      <c r="I109" s="1109"/>
      <c r="J109" s="1109"/>
      <c r="K109" s="1110"/>
      <c r="L109" s="305"/>
    </row>
    <row r="110" spans="1:12" ht="12.75">
      <c r="A110" s="305"/>
      <c r="B110" s="1054" t="s">
        <v>512</v>
      </c>
      <c r="C110" s="1055"/>
      <c r="D110" s="331" t="s">
        <v>619</v>
      </c>
      <c r="E110" s="1139"/>
      <c r="F110" s="1140"/>
      <c r="G110" s="1141"/>
      <c r="H110" s="1128"/>
      <c r="I110" s="1129"/>
      <c r="J110" s="1129"/>
      <c r="K110" s="1130"/>
      <c r="L110" s="305"/>
    </row>
    <row r="111" spans="1:12" ht="12.75">
      <c r="A111" s="305"/>
      <c r="B111" s="1054" t="s">
        <v>513</v>
      </c>
      <c r="C111" s="1066"/>
      <c r="D111" s="331" t="s">
        <v>509</v>
      </c>
      <c r="E111" s="1072">
        <f>'Reporting Summary'!E65:G65</f>
        <v>0</v>
      </c>
      <c r="F111" s="1096"/>
      <c r="G111" s="1064"/>
      <c r="H111" s="1124">
        <f>'Reporting Summary'!H65:L65</f>
        <v>0</v>
      </c>
      <c r="I111" s="1125"/>
      <c r="J111" s="1125"/>
      <c r="K111" s="1126"/>
      <c r="L111" s="305"/>
    </row>
    <row r="112" spans="1:12" ht="12.75">
      <c r="A112" s="305"/>
      <c r="B112" s="1137" t="s">
        <v>620</v>
      </c>
      <c r="C112" s="1138"/>
      <c r="D112" s="331" t="s">
        <v>621</v>
      </c>
      <c r="E112" s="1139"/>
      <c r="F112" s="1140"/>
      <c r="G112" s="1141"/>
      <c r="H112" s="1128"/>
      <c r="I112" s="1129"/>
      <c r="J112" s="1129"/>
      <c r="K112" s="1130"/>
      <c r="L112" s="305"/>
    </row>
    <row r="113" spans="1:12" ht="12.75">
      <c r="A113" s="305"/>
      <c r="B113" s="1054" t="s">
        <v>622</v>
      </c>
      <c r="C113" s="1066"/>
      <c r="D113" s="331" t="s">
        <v>623</v>
      </c>
      <c r="E113" s="338"/>
      <c r="F113" s="339">
        <v>0.1</v>
      </c>
      <c r="G113" s="334" t="s">
        <v>673</v>
      </c>
      <c r="H113" s="335"/>
      <c r="I113" s="340">
        <v>0.1</v>
      </c>
      <c r="J113" s="340" t="s">
        <v>673</v>
      </c>
      <c r="K113" s="337"/>
      <c r="L113" s="305"/>
    </row>
    <row r="114" spans="1:12" ht="12.75">
      <c r="A114" s="305"/>
      <c r="B114" s="1054" t="s">
        <v>624</v>
      </c>
      <c r="C114" s="1066"/>
      <c r="D114" s="331" t="s">
        <v>404</v>
      </c>
      <c r="E114" s="1072">
        <f>'Infiltration&amp;Ventilation'!C16</f>
        <v>0</v>
      </c>
      <c r="F114" s="1096"/>
      <c r="G114" s="1064"/>
      <c r="H114" s="1081">
        <f>'Infiltration&amp;Ventilation'!D16</f>
        <v>0</v>
      </c>
      <c r="I114" s="1082"/>
      <c r="J114" s="1082"/>
      <c r="K114" s="1083"/>
      <c r="L114" s="305"/>
    </row>
    <row r="115" spans="1:12" ht="12.75">
      <c r="A115" s="305"/>
      <c r="B115" s="1054" t="s">
        <v>514</v>
      </c>
      <c r="C115" s="1066"/>
      <c r="D115" s="331" t="s">
        <v>625</v>
      </c>
      <c r="E115" s="338"/>
      <c r="F115" s="339">
        <f>'Reporting Summary'!F66</f>
        <v>0</v>
      </c>
      <c r="G115" s="334">
        <f>'Reporting Summary'!G66</f>
        <v>0</v>
      </c>
      <c r="H115" s="335"/>
      <c r="I115" s="340">
        <f>'Reporting Summary'!I66</f>
        <v>0</v>
      </c>
      <c r="J115" s="340">
        <f>'Reporting Summary'!J66</f>
        <v>0</v>
      </c>
      <c r="K115" s="337"/>
      <c r="L115" s="305"/>
    </row>
    <row r="116" spans="1:12" ht="12.75">
      <c r="A116" s="305"/>
      <c r="B116" s="1054" t="s">
        <v>516</v>
      </c>
      <c r="C116" s="1066"/>
      <c r="D116" s="331" t="s">
        <v>517</v>
      </c>
      <c r="E116" s="338"/>
      <c r="F116" s="339">
        <f>'Reporting Summary'!F67</f>
        <v>0</v>
      </c>
      <c r="G116" s="334">
        <f>'Reporting Summary'!G67</f>
        <v>0</v>
      </c>
      <c r="H116" s="335"/>
      <c r="I116" s="340">
        <f>'Reporting Summary'!I67</f>
        <v>0</v>
      </c>
      <c r="J116" s="340">
        <f>'Reporting Summary'!J67</f>
        <v>0</v>
      </c>
      <c r="K116" s="337"/>
      <c r="L116" s="305"/>
    </row>
    <row r="117" spans="1:12" ht="12.75" customHeight="1">
      <c r="A117" s="305"/>
      <c r="B117" s="1054" t="s">
        <v>626</v>
      </c>
      <c r="C117" s="1066"/>
      <c r="D117" s="331" t="s">
        <v>627</v>
      </c>
      <c r="E117" s="1056"/>
      <c r="F117" s="1127"/>
      <c r="G117" s="1057"/>
      <c r="H117" s="1128"/>
      <c r="I117" s="1129"/>
      <c r="J117" s="1129"/>
      <c r="K117" s="1130"/>
      <c r="L117" s="305"/>
    </row>
    <row r="118" spans="1:12" ht="12.75" customHeight="1">
      <c r="A118" s="305"/>
      <c r="B118" s="1054" t="s">
        <v>628</v>
      </c>
      <c r="C118" s="1066"/>
      <c r="D118" s="331" t="s">
        <v>629</v>
      </c>
      <c r="E118" s="1056"/>
      <c r="F118" s="1127"/>
      <c r="G118" s="1057"/>
      <c r="H118" s="1128"/>
      <c r="I118" s="1129"/>
      <c r="J118" s="1129"/>
      <c r="K118" s="1130"/>
      <c r="L118" s="305"/>
    </row>
    <row r="119" spans="1:12" ht="12.75">
      <c r="A119" s="305"/>
      <c r="B119" s="1054" t="s">
        <v>630</v>
      </c>
      <c r="C119" s="1066"/>
      <c r="D119" s="331" t="s">
        <v>404</v>
      </c>
      <c r="E119" s="1056"/>
      <c r="F119" s="1127"/>
      <c r="G119" s="1057"/>
      <c r="H119" s="1128"/>
      <c r="I119" s="1129"/>
      <c r="J119" s="1129"/>
      <c r="K119" s="1130"/>
      <c r="L119" s="305"/>
    </row>
    <row r="120" spans="1:12" ht="12.75" customHeight="1">
      <c r="A120" s="305"/>
      <c r="B120" s="1054" t="s">
        <v>518</v>
      </c>
      <c r="C120" s="1066"/>
      <c r="D120" s="331" t="s">
        <v>84</v>
      </c>
      <c r="E120" s="1072">
        <f>'Reporting Summary'!E68:G68</f>
        <v>0</v>
      </c>
      <c r="F120" s="1096"/>
      <c r="G120" s="1064"/>
      <c r="H120" s="1124">
        <f>'Reporting Summary'!H68:L68</f>
        <v>0</v>
      </c>
      <c r="I120" s="1125"/>
      <c r="J120" s="1125"/>
      <c r="K120" s="1126"/>
      <c r="L120" s="305"/>
    </row>
    <row r="121" spans="1:12" ht="12.75" customHeight="1">
      <c r="A121" s="305"/>
      <c r="B121" s="1054" t="s">
        <v>631</v>
      </c>
      <c r="C121" s="1066"/>
      <c r="D121" s="331" t="s">
        <v>632</v>
      </c>
      <c r="E121" s="1056"/>
      <c r="F121" s="1127"/>
      <c r="G121" s="1057"/>
      <c r="H121" s="1128"/>
      <c r="I121" s="1129"/>
      <c r="J121" s="1129"/>
      <c r="K121" s="1130"/>
      <c r="L121" s="305"/>
    </row>
    <row r="122" spans="1:12" ht="12.75" customHeight="1">
      <c r="A122" s="305"/>
      <c r="B122" s="1054" t="s">
        <v>633</v>
      </c>
      <c r="C122" s="1066"/>
      <c r="D122" s="331">
        <v>0.4</v>
      </c>
      <c r="E122" s="1131">
        <v>1</v>
      </c>
      <c r="F122" s="1132"/>
      <c r="G122" s="1133"/>
      <c r="H122" s="1134">
        <v>1</v>
      </c>
      <c r="I122" s="1135"/>
      <c r="J122" s="1135"/>
      <c r="K122" s="1136"/>
      <c r="L122" s="305"/>
    </row>
    <row r="123" spans="1:12" ht="12.75" customHeight="1">
      <c r="A123" s="305"/>
      <c r="B123" s="1108" t="s">
        <v>519</v>
      </c>
      <c r="C123" s="1109"/>
      <c r="D123" s="1109"/>
      <c r="E123" s="1109"/>
      <c r="F123" s="1109"/>
      <c r="G123" s="1109"/>
      <c r="H123" s="1109"/>
      <c r="I123" s="1109"/>
      <c r="J123" s="1109"/>
      <c r="K123" s="1110"/>
      <c r="L123" s="305"/>
    </row>
    <row r="124" spans="1:12" ht="12.75">
      <c r="A124" s="305"/>
      <c r="B124" s="1054" t="s">
        <v>520</v>
      </c>
      <c r="C124" s="1055"/>
      <c r="D124" s="331" t="s">
        <v>521</v>
      </c>
      <c r="E124" s="1111">
        <f>'Reporting Summary'!E70:G70</f>
        <v>0</v>
      </c>
      <c r="F124" s="1112"/>
      <c r="G124" s="1113"/>
      <c r="H124" s="1114">
        <f>'Reporting Summary'!H70:L70</f>
        <v>0</v>
      </c>
      <c r="I124" s="1115"/>
      <c r="J124" s="1115"/>
      <c r="K124" s="1116"/>
      <c r="L124" s="305"/>
    </row>
    <row r="125" spans="1:12" ht="12.75" customHeight="1">
      <c r="A125" s="305"/>
      <c r="B125" s="1054" t="s">
        <v>634</v>
      </c>
      <c r="C125" s="1066"/>
      <c r="D125" s="331" t="s">
        <v>635</v>
      </c>
      <c r="E125" s="1063">
        <f>'DHW Demand'!D10</f>
        <v>0</v>
      </c>
      <c r="F125" s="1122"/>
      <c r="G125" s="1067"/>
      <c r="H125" s="1063" t="e">
        <f>'DHW Demand'!C10</f>
        <v>#DIV/0!</v>
      </c>
      <c r="I125" s="1122"/>
      <c r="J125" s="1122"/>
      <c r="K125" s="1123"/>
      <c r="L125" s="305"/>
    </row>
    <row r="126" spans="1:12" ht="12.75">
      <c r="A126" s="305"/>
      <c r="B126" s="1054" t="s">
        <v>522</v>
      </c>
      <c r="C126" s="1066"/>
      <c r="D126" s="331" t="s">
        <v>102</v>
      </c>
      <c r="E126" s="1072">
        <f>'Reporting Summary'!E71:G71</f>
        <v>2.5</v>
      </c>
      <c r="F126" s="1096"/>
      <c r="G126" s="1064"/>
      <c r="H126" s="1095" t="e">
        <f>'Reporting Summary'!H71:L71</f>
        <v>#DIV/0!</v>
      </c>
      <c r="I126" s="1096"/>
      <c r="J126" s="1096"/>
      <c r="K126" s="1097"/>
      <c r="L126" s="305"/>
    </row>
    <row r="127" spans="1:12" ht="12.75">
      <c r="A127" s="305"/>
      <c r="B127" s="1054" t="s">
        <v>171</v>
      </c>
      <c r="C127" s="1066"/>
      <c r="D127" s="331" t="s">
        <v>102</v>
      </c>
      <c r="E127" s="1072">
        <f>'Reporting Summary'!E72:G72</f>
        <v>2.5</v>
      </c>
      <c r="F127" s="1096"/>
      <c r="G127" s="1064"/>
      <c r="H127" s="1095">
        <f>'Reporting Summary'!H72:L72</f>
        <v>0</v>
      </c>
      <c r="I127" s="1096"/>
      <c r="J127" s="1096"/>
      <c r="K127" s="1097"/>
      <c r="L127" s="305"/>
    </row>
    <row r="128" spans="1:12" ht="12.75">
      <c r="A128" s="305"/>
      <c r="B128" s="1054" t="s">
        <v>523</v>
      </c>
      <c r="C128" s="1066"/>
      <c r="D128" s="331" t="s">
        <v>524</v>
      </c>
      <c r="E128" s="341"/>
      <c r="F128" s="348"/>
      <c r="G128" s="343"/>
      <c r="H128" s="1086"/>
      <c r="I128" s="1087"/>
      <c r="J128" s="1087"/>
      <c r="K128" s="1098"/>
      <c r="L128" s="305"/>
    </row>
    <row r="129" spans="1:12" ht="12.75" customHeight="1">
      <c r="A129" s="305"/>
      <c r="B129" s="1108" t="s">
        <v>525</v>
      </c>
      <c r="C129" s="1109"/>
      <c r="D129" s="1109"/>
      <c r="E129" s="1109"/>
      <c r="F129" s="1109"/>
      <c r="G129" s="1109"/>
      <c r="H129" s="1109"/>
      <c r="I129" s="1109"/>
      <c r="J129" s="1109"/>
      <c r="K129" s="1110"/>
      <c r="L129" s="305"/>
    </row>
    <row r="130" spans="1:12" ht="12.75">
      <c r="A130" s="305"/>
      <c r="B130" s="1117" t="s">
        <v>526</v>
      </c>
      <c r="C130" s="1118"/>
      <c r="D130" s="349"/>
      <c r="E130" s="1119">
        <f>'Reporting Summary'!E75:G75</f>
        <v>0</v>
      </c>
      <c r="F130" s="1120"/>
      <c r="G130" s="1121"/>
      <c r="H130" s="1105">
        <f>'Reporting Summary'!H75:L75</f>
        <v>0</v>
      </c>
      <c r="I130" s="1106"/>
      <c r="J130" s="1106"/>
      <c r="K130" s="1107"/>
      <c r="L130" s="305"/>
    </row>
    <row r="131" spans="1:12" ht="12.75">
      <c r="A131" s="305"/>
      <c r="B131" s="1084" t="s">
        <v>527</v>
      </c>
      <c r="C131" s="1085"/>
      <c r="D131" s="350" t="s">
        <v>84</v>
      </c>
      <c r="E131" s="1086">
        <f>'Reporting Summary'!E76:G76</f>
        <v>0</v>
      </c>
      <c r="F131" s="1087"/>
      <c r="G131" s="1088"/>
      <c r="H131" s="1089">
        <f>'Reporting Summary'!H76:L76</f>
        <v>0</v>
      </c>
      <c r="I131" s="1090"/>
      <c r="J131" s="1090"/>
      <c r="K131" s="1091"/>
      <c r="L131" s="305"/>
    </row>
    <row r="132" spans="1:12" ht="12.75" customHeight="1">
      <c r="A132" s="305"/>
      <c r="B132" s="1092" t="s">
        <v>339</v>
      </c>
      <c r="C132" s="1093"/>
      <c r="D132" s="1093"/>
      <c r="E132" s="1093"/>
      <c r="F132" s="1093"/>
      <c r="G132" s="1093"/>
      <c r="H132" s="1093"/>
      <c r="I132" s="1093"/>
      <c r="J132" s="1093"/>
      <c r="K132" s="1094"/>
      <c r="L132" s="305"/>
    </row>
    <row r="133" spans="1:12" ht="12.75">
      <c r="A133" s="305"/>
      <c r="B133" s="1054"/>
      <c r="C133" s="1055"/>
      <c r="D133" s="331"/>
      <c r="E133" s="1072">
        <f>'Reporting Summary'!E78:G78</f>
        <v>0</v>
      </c>
      <c r="F133" s="1096"/>
      <c r="G133" s="1064"/>
      <c r="H133" s="1105">
        <f>'Reporting Summary'!H78:L78</f>
        <v>0</v>
      </c>
      <c r="I133" s="1106"/>
      <c r="J133" s="1106"/>
      <c r="K133" s="1107"/>
      <c r="L133" s="305"/>
    </row>
    <row r="134" spans="1:12" ht="12.75">
      <c r="A134" s="305"/>
      <c r="B134" s="351"/>
      <c r="C134" s="352"/>
      <c r="D134" s="331"/>
      <c r="E134" s="1072">
        <f>'Reporting Summary'!E79:G79</f>
        <v>0</v>
      </c>
      <c r="F134" s="1096"/>
      <c r="G134" s="1064"/>
      <c r="H134" s="1081">
        <f>'Reporting Summary'!H79:L79</f>
        <v>0</v>
      </c>
      <c r="I134" s="1082"/>
      <c r="J134" s="1082"/>
      <c r="K134" s="1083"/>
      <c r="L134" s="305"/>
    </row>
    <row r="135" spans="1:12" ht="13.5" thickBot="1">
      <c r="A135" s="305"/>
      <c r="B135" s="1099"/>
      <c r="C135" s="1100"/>
      <c r="D135" s="353"/>
      <c r="E135" s="1070">
        <f>'Reporting Summary'!E80:G80</f>
        <v>0</v>
      </c>
      <c r="F135" s="1101"/>
      <c r="G135" s="1071"/>
      <c r="H135" s="1102">
        <f>'Reporting Summary'!H80:L80</f>
        <v>0</v>
      </c>
      <c r="I135" s="1103"/>
      <c r="J135" s="1103"/>
      <c r="K135" s="1104"/>
      <c r="L135" s="305"/>
    </row>
    <row r="136" spans="1:12" ht="12.75">
      <c r="A136" s="305"/>
      <c r="B136" s="305"/>
      <c r="C136" s="305"/>
      <c r="D136" s="305"/>
      <c r="E136" s="305"/>
      <c r="F136" s="305"/>
      <c r="G136" s="305"/>
      <c r="H136" s="305"/>
      <c r="I136" s="305"/>
      <c r="J136" s="305"/>
      <c r="K136" s="305"/>
      <c r="L136" s="305"/>
    </row>
    <row r="137" spans="1:12" ht="12.75">
      <c r="A137" s="305"/>
      <c r="B137" s="305"/>
      <c r="C137" s="305"/>
      <c r="D137" s="305"/>
      <c r="E137" s="305"/>
      <c r="F137" s="305"/>
      <c r="G137" s="305"/>
      <c r="H137" s="305"/>
      <c r="I137" s="305"/>
      <c r="J137" s="305"/>
      <c r="K137" s="305"/>
      <c r="L137" s="305"/>
    </row>
    <row r="138" spans="1:12" ht="16.5" hidden="1" thickBot="1">
      <c r="A138" s="305"/>
      <c r="B138" s="305"/>
      <c r="C138" s="313" t="s">
        <v>676</v>
      </c>
      <c r="D138" s="305"/>
      <c r="E138" s="305"/>
      <c r="F138" s="305"/>
      <c r="G138" s="305"/>
      <c r="H138" s="305"/>
      <c r="I138" s="305"/>
      <c r="J138" s="305"/>
      <c r="K138" s="305"/>
      <c r="L138" s="305"/>
    </row>
    <row r="139" spans="1:12" ht="42" customHeight="1" hidden="1">
      <c r="A139" s="305"/>
      <c r="B139" s="305"/>
      <c r="C139" s="354" t="s">
        <v>528</v>
      </c>
      <c r="D139" s="355"/>
      <c r="E139" s="330" t="s">
        <v>106</v>
      </c>
      <c r="F139" s="356" t="s">
        <v>636</v>
      </c>
      <c r="G139" s="356" t="s">
        <v>637</v>
      </c>
      <c r="H139" s="356" t="s">
        <v>638</v>
      </c>
      <c r="I139" s="330" t="s">
        <v>639</v>
      </c>
      <c r="J139" s="357" t="s">
        <v>375</v>
      </c>
      <c r="K139" s="305"/>
      <c r="L139" s="305"/>
    </row>
    <row r="140" spans="1:12" ht="12.75" customHeight="1" hidden="1">
      <c r="A140" s="305"/>
      <c r="B140" s="305"/>
      <c r="C140" s="1058" t="s">
        <v>35</v>
      </c>
      <c r="D140" s="1059"/>
      <c r="E140" s="1059"/>
      <c r="F140" s="1059"/>
      <c r="G140" s="1059"/>
      <c r="H140" s="1059"/>
      <c r="I140" s="1059"/>
      <c r="J140" s="1060"/>
      <c r="K140" s="305"/>
      <c r="L140" s="305"/>
    </row>
    <row r="141" spans="1:12" ht="12.75" hidden="1">
      <c r="A141" s="305"/>
      <c r="B141" s="305"/>
      <c r="C141" s="1054" t="s">
        <v>36</v>
      </c>
      <c r="D141" s="1055"/>
      <c r="E141" s="358" t="s">
        <v>83</v>
      </c>
      <c r="F141" s="359">
        <f>'Results from eQUEST'!S13</f>
        <v>0</v>
      </c>
      <c r="G141" s="359">
        <f>'Results from eQUEST'!S14</f>
        <v>0</v>
      </c>
      <c r="H141" s="359">
        <f>'Results from eQUEST'!S15</f>
        <v>0</v>
      </c>
      <c r="I141" s="360">
        <f>'Results from eQUEST'!S16</f>
        <v>0</v>
      </c>
      <c r="J141" s="360" t="e">
        <f>'Results from eQUEST'!S17</f>
        <v>#DIV/0!</v>
      </c>
      <c r="K141" s="305"/>
      <c r="L141" s="305"/>
    </row>
    <row r="142" spans="1:12" ht="12.75" hidden="1">
      <c r="A142" s="305"/>
      <c r="B142" s="305"/>
      <c r="C142" s="1054" t="s">
        <v>37</v>
      </c>
      <c r="D142" s="1055"/>
      <c r="E142" s="358" t="s">
        <v>83</v>
      </c>
      <c r="F142" s="359">
        <f>'Results from eQUEST'!O13+'Results from eQUEST'!U13</f>
        <v>0</v>
      </c>
      <c r="G142" s="362">
        <f>'Results from eQUEST'!O14+'Results from eQUEST'!U14</f>
        <v>0</v>
      </c>
      <c r="H142" s="362">
        <f>'Results from eQUEST'!O15+'Results from eQUEST'!U15</f>
        <v>0</v>
      </c>
      <c r="I142" s="362">
        <f>'Results from eQUEST'!O16+'Results from eQUEST'!U16</f>
        <v>0</v>
      </c>
      <c r="J142" s="362" t="e">
        <f>'Results from eQUEST'!O17+'Results from eQUEST'!U17</f>
        <v>#DIV/0!</v>
      </c>
      <c r="K142" s="305"/>
      <c r="L142" s="305"/>
    </row>
    <row r="143" spans="1:12" ht="12.75" hidden="1">
      <c r="A143" s="305"/>
      <c r="B143" s="305"/>
      <c r="C143" s="1054" t="s">
        <v>38</v>
      </c>
      <c r="D143" s="1055"/>
      <c r="E143" s="358" t="s">
        <v>83</v>
      </c>
      <c r="F143" s="359">
        <f>'Results from eQUEST'!P13+'Results from eQUEST'!Q13</f>
        <v>0</v>
      </c>
      <c r="G143" s="362">
        <f>'Results from eQUEST'!P14+'Results from eQUEST'!Q14</f>
        <v>0</v>
      </c>
      <c r="H143" s="362">
        <f>'Results from eQUEST'!P15+'Results from eQUEST'!Q15</f>
        <v>0</v>
      </c>
      <c r="I143" s="362">
        <f>'Results from eQUEST'!P16+'Results from eQUEST'!Q16</f>
        <v>0</v>
      </c>
      <c r="J143" s="362" t="e">
        <f>'Results from eQUEST'!P17+'Results from eQUEST'!Q17</f>
        <v>#DIV/0!</v>
      </c>
      <c r="K143" s="305"/>
      <c r="L143" s="305"/>
    </row>
    <row r="144" spans="1:12" ht="12.75" hidden="1">
      <c r="A144" s="305"/>
      <c r="B144" s="305"/>
      <c r="C144" s="1054" t="s">
        <v>39</v>
      </c>
      <c r="D144" s="1055"/>
      <c r="E144" s="358" t="s">
        <v>83</v>
      </c>
      <c r="F144" s="359">
        <f>'Results from eQUEST'!V13</f>
        <v>0</v>
      </c>
      <c r="G144" s="362">
        <f>'Results from eQUEST'!V14</f>
        <v>0</v>
      </c>
      <c r="H144" s="362">
        <f>'Results from eQUEST'!V15</f>
        <v>0</v>
      </c>
      <c r="I144" s="362">
        <f>'Results from eQUEST'!V16</f>
        <v>0</v>
      </c>
      <c r="J144" s="362" t="e">
        <f>'Results from eQUEST'!V17</f>
        <v>#DIV/0!</v>
      </c>
      <c r="K144" s="305"/>
      <c r="L144" s="305"/>
    </row>
    <row r="145" spans="1:12" ht="12.75" hidden="1">
      <c r="A145" s="305"/>
      <c r="B145" s="305"/>
      <c r="C145" s="1054" t="s">
        <v>40</v>
      </c>
      <c r="D145" s="1055"/>
      <c r="E145" s="358" t="s">
        <v>83</v>
      </c>
      <c r="F145" s="364">
        <f>'Results from eQUEST'!L13+'Results from eQUEST'!M13-F146</f>
        <v>0</v>
      </c>
      <c r="G145" s="364">
        <f>'Results from eQUEST'!L14+'Results from eQUEST'!M14-G146</f>
        <v>0</v>
      </c>
      <c r="H145" s="364">
        <f>'Results from eQUEST'!L15+'Results from eQUEST'!M15-H146</f>
        <v>0</v>
      </c>
      <c r="I145" s="365">
        <f>'Results from eQUEST'!L16+'Results from eQUEST'!M16-I146</f>
        <v>0</v>
      </c>
      <c r="J145" s="365" t="e">
        <f>'Results from eQUEST'!L17+'Results from eQUEST'!M17-J146</f>
        <v>#DIV/0!</v>
      </c>
      <c r="K145" s="305"/>
      <c r="L145" s="305"/>
    </row>
    <row r="146" spans="1:12" ht="12.75" hidden="1">
      <c r="A146" s="305"/>
      <c r="B146" s="305"/>
      <c r="C146" s="1054" t="s">
        <v>506</v>
      </c>
      <c r="D146" s="1055"/>
      <c r="E146" s="358" t="s">
        <v>83</v>
      </c>
      <c r="F146" s="364">
        <f>'Reporting Summary'!E90</f>
        <v>0</v>
      </c>
      <c r="G146" s="365">
        <f>F146</f>
        <v>0</v>
      </c>
      <c r="H146" s="365">
        <f>F146</f>
        <v>0</v>
      </c>
      <c r="I146" s="365">
        <f>F146</f>
        <v>0</v>
      </c>
      <c r="J146" s="365">
        <f>F146</f>
        <v>0</v>
      </c>
      <c r="K146" s="305"/>
      <c r="L146" s="305"/>
    </row>
    <row r="147" spans="1:12" ht="12.75" hidden="1">
      <c r="A147" s="305"/>
      <c r="B147" s="305"/>
      <c r="C147" s="1054" t="s">
        <v>107</v>
      </c>
      <c r="D147" s="1055"/>
      <c r="E147" s="358" t="s">
        <v>83</v>
      </c>
      <c r="F147" s="364" t="e">
        <f>'Results from eQUEST'!N13+'Results from eQUEST'!T13-F148-Appliances!I31</f>
        <v>#VALUE!</v>
      </c>
      <c r="G147" s="365" t="e">
        <f>'Results from eQUEST'!N14+'Results from eQUEST'!T14-G148-Appliances!I31</f>
        <v>#VALUE!</v>
      </c>
      <c r="H147" s="365" t="e">
        <f>'Results from eQUEST'!N15+'Results from eQUEST'!T15-H148-Appliances!I31</f>
        <v>#VALUE!</v>
      </c>
      <c r="I147" s="365" t="e">
        <f>'Results from eQUEST'!N16+'Results from eQUEST'!T16-I148-Appliances!I31</f>
        <v>#VALUE!</v>
      </c>
      <c r="J147" s="365" t="e">
        <f>'Results from eQUEST'!N17+'Results from eQUEST'!T17-J148-Appliances!I31</f>
        <v>#DIV/0!</v>
      </c>
      <c r="K147" s="305"/>
      <c r="L147" s="305"/>
    </row>
    <row r="148" spans="1:12" ht="12.75" hidden="1">
      <c r="A148" s="305"/>
      <c r="B148" s="305"/>
      <c r="C148" s="1054" t="s">
        <v>42</v>
      </c>
      <c r="D148" s="1055"/>
      <c r="E148" s="358" t="s">
        <v>83</v>
      </c>
      <c r="F148" s="364">
        <f>'Reporting Summary'!E93</f>
        <v>0</v>
      </c>
      <c r="G148" s="365">
        <f>F148</f>
        <v>0</v>
      </c>
      <c r="H148" s="365">
        <f>F148</f>
        <v>0</v>
      </c>
      <c r="I148" s="365">
        <f>F148</f>
        <v>0</v>
      </c>
      <c r="J148" s="361">
        <f>F148</f>
        <v>0</v>
      </c>
      <c r="K148" s="305"/>
      <c r="L148" s="305"/>
    </row>
    <row r="149" spans="1:12" ht="12.75" hidden="1">
      <c r="A149" s="305"/>
      <c r="B149" s="305"/>
      <c r="C149" s="1054" t="s">
        <v>41</v>
      </c>
      <c r="D149" s="1055"/>
      <c r="E149" s="358" t="s">
        <v>83</v>
      </c>
      <c r="F149" s="366" t="e">
        <f>'Results from eQUEST'!W13+Appliances!I31+'Results from eQUEST'!R13</f>
        <v>#VALUE!</v>
      </c>
      <c r="G149" s="367" t="e">
        <f>'Results from eQUEST'!W14+Appliances!I31+'Results from eQUEST'!R14</f>
        <v>#VALUE!</v>
      </c>
      <c r="H149" s="367" t="e">
        <f>'Results from eQUEST'!W15+Appliances!I31+'Results from eQUEST'!R15</f>
        <v>#VALUE!</v>
      </c>
      <c r="I149" s="367" t="e">
        <f>'Results from eQUEST'!W16+Appliances!I31+'Results from eQUEST'!R16</f>
        <v>#VALUE!</v>
      </c>
      <c r="J149" s="367" t="e">
        <f>'Results from eQUEST'!W17+Appliances!I31+'Results from eQUEST'!R17</f>
        <v>#DIV/0!</v>
      </c>
      <c r="K149" s="305"/>
      <c r="L149" s="305"/>
    </row>
    <row r="150" spans="1:12" ht="12.75" customHeight="1" hidden="1">
      <c r="A150" s="305"/>
      <c r="B150" s="305"/>
      <c r="C150" s="1058" t="s">
        <v>43</v>
      </c>
      <c r="D150" s="1073"/>
      <c r="E150" s="1073"/>
      <c r="F150" s="1079"/>
      <c r="G150" s="1079"/>
      <c r="H150" s="1079"/>
      <c r="I150" s="1079"/>
      <c r="J150" s="1080"/>
      <c r="K150" s="305"/>
      <c r="L150" s="305"/>
    </row>
    <row r="151" spans="1:12" ht="12.75" hidden="1">
      <c r="A151" s="305"/>
      <c r="B151" s="305"/>
      <c r="C151" s="1054" t="s">
        <v>37</v>
      </c>
      <c r="D151" s="1066"/>
      <c r="E151" s="368" t="s">
        <v>590</v>
      </c>
      <c r="F151" s="369">
        <f>('Results from eQUEST'!BA13+'Results from eQUEST'!BG13)/10</f>
        <v>0</v>
      </c>
      <c r="G151" s="360">
        <f>('Results from eQUEST'!BA14+'Results from eQUEST'!BG14)/10</f>
        <v>0</v>
      </c>
      <c r="H151" s="360">
        <f>('Results from eQUEST'!BA15+'Results from eQUEST'!BG15)/10</f>
        <v>0</v>
      </c>
      <c r="I151" s="370">
        <f>('Results from eQUEST'!BA16+'Results from eQUEST'!BG16)/10</f>
        <v>0</v>
      </c>
      <c r="J151" s="370" t="e">
        <f>('Results from eQUEST'!BA17+'Results from eQUEST'!BG17)/10</f>
        <v>#DIV/0!</v>
      </c>
      <c r="K151" s="305"/>
      <c r="L151" s="305"/>
    </row>
    <row r="152" spans="1:12" ht="12.75" customHeight="1" hidden="1">
      <c r="A152" s="305"/>
      <c r="B152" s="305"/>
      <c r="C152" s="1054" t="s">
        <v>39</v>
      </c>
      <c r="D152" s="1055"/>
      <c r="E152" s="371" t="s">
        <v>590</v>
      </c>
      <c r="F152" s="359">
        <f>'Results from eQUEST'!BH13/10</f>
        <v>0</v>
      </c>
      <c r="G152" s="362">
        <f>'Results from eQUEST'!BH14/10</f>
        <v>0</v>
      </c>
      <c r="H152" s="362">
        <f>'Results from eQUEST'!BH15/10</f>
        <v>0</v>
      </c>
      <c r="I152" s="372">
        <f>'Results from eQUEST'!BH16/10</f>
        <v>0</v>
      </c>
      <c r="J152" s="372" t="e">
        <f>'Results from eQUEST'!BH17/10</f>
        <v>#DIV/0!</v>
      </c>
      <c r="K152" s="305"/>
      <c r="L152" s="305"/>
    </row>
    <row r="153" spans="1:12" ht="12.75" hidden="1">
      <c r="A153" s="305"/>
      <c r="B153" s="305"/>
      <c r="C153" s="1054" t="s">
        <v>107</v>
      </c>
      <c r="D153" s="1055"/>
      <c r="E153" s="373" t="s">
        <v>590</v>
      </c>
      <c r="F153" s="366">
        <f>('Results from eQUEST'!AZ13+'Results from eQUEST'!BF13)/10</f>
        <v>0</v>
      </c>
      <c r="G153" s="367">
        <f>('Results from eQUEST'!AZ14+'Results from eQUEST'!BF14)/10</f>
        <v>0</v>
      </c>
      <c r="H153" s="367">
        <f>('Results from eQUEST'!AZ15+'Results from eQUEST'!BF15)/10</f>
        <v>0</v>
      </c>
      <c r="I153" s="374">
        <f>('Results from eQUEST'!AZ16+'Results from eQUEST'!BF16)/10</f>
        <v>0</v>
      </c>
      <c r="J153" s="374" t="e">
        <f>('Results from eQUEST'!AZ17+'Results from eQUEST'!BF17)/10</f>
        <v>#DIV/0!</v>
      </c>
      <c r="K153" s="305"/>
      <c r="L153" s="305"/>
    </row>
    <row r="154" spans="1:12" ht="12.75" customHeight="1" hidden="1">
      <c r="A154" s="305"/>
      <c r="B154" s="305"/>
      <c r="C154" s="1058" t="s">
        <v>44</v>
      </c>
      <c r="D154" s="1059"/>
      <c r="E154" s="1065"/>
      <c r="F154" s="1059"/>
      <c r="G154" s="1059"/>
      <c r="H154" s="1059"/>
      <c r="I154" s="1059"/>
      <c r="J154" s="1060"/>
      <c r="K154" s="305"/>
      <c r="L154" s="305"/>
    </row>
    <row r="155" spans="1:12" ht="12.75" hidden="1">
      <c r="A155" s="305"/>
      <c r="B155" s="305"/>
      <c r="C155" s="1054" t="s">
        <v>37</v>
      </c>
      <c r="D155" s="1066"/>
      <c r="E155" s="368" t="s">
        <v>590</v>
      </c>
      <c r="F155" s="375">
        <v>0</v>
      </c>
      <c r="G155" s="376">
        <v>0</v>
      </c>
      <c r="H155" s="376">
        <v>0</v>
      </c>
      <c r="I155" s="377">
        <v>0</v>
      </c>
      <c r="J155" s="378">
        <f>IF(COUNT(F155:I155)=0,"",AVERAGE(F155:I155))</f>
        <v>0</v>
      </c>
      <c r="K155" s="305"/>
      <c r="L155" s="305"/>
    </row>
    <row r="156" spans="1:12" ht="12.75" customHeight="1" hidden="1">
      <c r="A156" s="305"/>
      <c r="B156" s="305"/>
      <c r="C156" s="1054" t="s">
        <v>39</v>
      </c>
      <c r="D156" s="1055"/>
      <c r="E156" s="371" t="s">
        <v>590</v>
      </c>
      <c r="F156" s="379">
        <v>0</v>
      </c>
      <c r="G156" s="380">
        <v>0</v>
      </c>
      <c r="H156" s="380">
        <v>0</v>
      </c>
      <c r="I156" s="381">
        <v>0</v>
      </c>
      <c r="J156" s="378">
        <f>IF(COUNT(F156:I156)=0,"",AVERAGE(F156:I156))</f>
        <v>0</v>
      </c>
      <c r="K156" s="305"/>
      <c r="L156" s="305"/>
    </row>
    <row r="157" spans="1:12" ht="12.75" customHeight="1" hidden="1">
      <c r="A157" s="305"/>
      <c r="B157" s="305"/>
      <c r="C157" s="1058" t="s">
        <v>45</v>
      </c>
      <c r="D157" s="1059"/>
      <c r="E157" s="1059"/>
      <c r="F157" s="1059"/>
      <c r="G157" s="1059"/>
      <c r="H157" s="1059"/>
      <c r="I157" s="1059"/>
      <c r="J157" s="1060"/>
      <c r="K157" s="305"/>
      <c r="L157" s="305"/>
    </row>
    <row r="158" spans="1:12" ht="12.75" hidden="1">
      <c r="A158" s="305"/>
      <c r="B158" s="305"/>
      <c r="C158" s="1061" t="s">
        <v>35</v>
      </c>
      <c r="D158" s="1062"/>
      <c r="E158" s="368" t="s">
        <v>83</v>
      </c>
      <c r="F158" s="369" t="e">
        <f>SUM(F141:F149)</f>
        <v>#VALUE!</v>
      </c>
      <c r="G158" s="360" t="e">
        <f>SUM(G141:G149)</f>
        <v>#VALUE!</v>
      </c>
      <c r="H158" s="360" t="e">
        <f>SUM(H141:H149)</f>
        <v>#VALUE!</v>
      </c>
      <c r="I158" s="360" t="e">
        <f>SUM(I141:I149)</f>
        <v>#VALUE!</v>
      </c>
      <c r="J158" s="361">
        <f>IF(COUNT(F158:I158)=0,"",AVERAGE(F158:I158))</f>
      </c>
      <c r="K158" s="305"/>
      <c r="L158" s="305"/>
    </row>
    <row r="159" spans="1:12" ht="12.75" hidden="1">
      <c r="A159" s="305"/>
      <c r="B159" s="305"/>
      <c r="C159" s="1061" t="s">
        <v>43</v>
      </c>
      <c r="D159" s="1062"/>
      <c r="E159" s="371" t="s">
        <v>590</v>
      </c>
      <c r="F159" s="359">
        <f>SUM(F151:F153)</f>
        <v>0</v>
      </c>
      <c r="G159" s="359">
        <f>SUM(G151:G153)</f>
        <v>0</v>
      </c>
      <c r="H159" s="359">
        <f>SUM(H151:H153)</f>
        <v>0</v>
      </c>
      <c r="I159" s="362">
        <f>SUM(I151:I153)</f>
        <v>0</v>
      </c>
      <c r="J159" s="363">
        <f>IF(COUNT(F159:I159)=0,"",AVERAGE(F159:I159))</f>
        <v>0</v>
      </c>
      <c r="K159" s="305"/>
      <c r="L159" s="305"/>
    </row>
    <row r="160" spans="1:12" ht="13.5" hidden="1" thickBot="1">
      <c r="A160" s="305"/>
      <c r="B160" s="305"/>
      <c r="C160" s="1068" t="s">
        <v>46</v>
      </c>
      <c r="D160" s="1069"/>
      <c r="E160" s="382" t="s">
        <v>590</v>
      </c>
      <c r="F160" s="383">
        <f>SUM(F155:F156)</f>
        <v>0</v>
      </c>
      <c r="G160" s="383">
        <f>SUM(G155:G156)</f>
        <v>0</v>
      </c>
      <c r="H160" s="383">
        <f>SUM(H155:H156)</f>
        <v>0</v>
      </c>
      <c r="I160" s="384">
        <f>SUM(I155:I156)</f>
        <v>0</v>
      </c>
      <c r="J160" s="385">
        <f>IF(COUNT(F160:I160)=0,"",AVERAGE(F160:I160))</f>
        <v>0</v>
      </c>
      <c r="K160" s="305"/>
      <c r="L160" s="305"/>
    </row>
    <row r="161" spans="1:12" ht="12.75" hidden="1">
      <c r="A161" s="305"/>
      <c r="B161" s="305"/>
      <c r="C161" s="305"/>
      <c r="D161" s="305"/>
      <c r="E161" s="305"/>
      <c r="F161" s="305"/>
      <c r="G161" s="305"/>
      <c r="H161" s="305"/>
      <c r="I161" s="305"/>
      <c r="J161" s="305"/>
      <c r="K161" s="305"/>
      <c r="L161" s="305"/>
    </row>
    <row r="162" spans="1:12" ht="16.5" thickBot="1">
      <c r="A162" s="305"/>
      <c r="B162" s="305"/>
      <c r="C162" s="313" t="s">
        <v>706</v>
      </c>
      <c r="D162" s="305"/>
      <c r="E162" s="305"/>
      <c r="F162" s="305"/>
      <c r="G162" s="305"/>
      <c r="H162" s="305"/>
      <c r="I162" s="305"/>
      <c r="J162" s="305"/>
      <c r="K162" s="305"/>
      <c r="L162" s="305"/>
    </row>
    <row r="163" spans="1:12" ht="42" customHeight="1">
      <c r="A163" s="305"/>
      <c r="B163" s="305"/>
      <c r="C163" s="354" t="s">
        <v>528</v>
      </c>
      <c r="D163" s="355"/>
      <c r="E163" s="330" t="s">
        <v>106</v>
      </c>
      <c r="F163" s="1075" t="s">
        <v>32</v>
      </c>
      <c r="G163" s="1076"/>
      <c r="H163" s="1075" t="s">
        <v>33</v>
      </c>
      <c r="I163" s="1077"/>
      <c r="J163" s="357" t="s">
        <v>34</v>
      </c>
      <c r="K163" s="305"/>
      <c r="L163" s="305"/>
    </row>
    <row r="164" spans="1:12" ht="12.75" customHeight="1">
      <c r="A164" s="305"/>
      <c r="B164" s="305"/>
      <c r="C164" s="1058" t="s">
        <v>35</v>
      </c>
      <c r="D164" s="1059"/>
      <c r="E164" s="1078"/>
      <c r="F164" s="1059"/>
      <c r="G164" s="1059"/>
      <c r="H164" s="1059"/>
      <c r="I164" s="1059"/>
      <c r="J164" s="1060"/>
      <c r="K164" s="305"/>
      <c r="L164" s="305"/>
    </row>
    <row r="165" spans="1:12" ht="12.75">
      <c r="A165" s="305"/>
      <c r="B165" s="305"/>
      <c r="C165" s="1054" t="s">
        <v>36</v>
      </c>
      <c r="D165" s="1055"/>
      <c r="E165" s="368" t="s">
        <v>83</v>
      </c>
      <c r="F165" s="1063" t="e">
        <f aca="true" t="shared" si="0" ref="F165:F171">J141</f>
        <v>#DIV/0!</v>
      </c>
      <c r="G165" s="1067"/>
      <c r="H165" s="1063">
        <f>'Results from eQUEST'!S19</f>
        <v>0</v>
      </c>
      <c r="I165" s="1067"/>
      <c r="J165" s="386" t="e">
        <f>IF(F165&gt;0,(F165-H165)/F165,"NA")</f>
        <v>#DIV/0!</v>
      </c>
      <c r="K165" s="305"/>
      <c r="L165" s="305"/>
    </row>
    <row r="166" spans="1:12" ht="12.75">
      <c r="A166" s="305"/>
      <c r="B166" s="305"/>
      <c r="C166" s="1054" t="s">
        <v>37</v>
      </c>
      <c r="D166" s="1055"/>
      <c r="E166" s="371" t="s">
        <v>83</v>
      </c>
      <c r="F166" s="1063" t="e">
        <f t="shared" si="0"/>
        <v>#DIV/0!</v>
      </c>
      <c r="G166" s="1067"/>
      <c r="H166" s="1063">
        <f>'Results from eQUEST'!O19+'Results from eQUEST'!U19</f>
        <v>0</v>
      </c>
      <c r="I166" s="1067"/>
      <c r="J166" s="387" t="e">
        <f aca="true" t="shared" si="1" ref="J166:J184">IF(F166&gt;0,(F166-H166)/F166,"NA")</f>
        <v>#DIV/0!</v>
      </c>
      <c r="K166" s="305"/>
      <c r="L166" s="305"/>
    </row>
    <row r="167" spans="1:12" ht="12.75">
      <c r="A167" s="305"/>
      <c r="B167" s="305"/>
      <c r="C167" s="1054" t="s">
        <v>38</v>
      </c>
      <c r="D167" s="1055"/>
      <c r="E167" s="371" t="s">
        <v>83</v>
      </c>
      <c r="F167" s="1063" t="e">
        <f t="shared" si="0"/>
        <v>#DIV/0!</v>
      </c>
      <c r="G167" s="1067"/>
      <c r="H167" s="1063">
        <f>'Results from eQUEST'!P19+'Results from eQUEST'!Q19</f>
        <v>0</v>
      </c>
      <c r="I167" s="1067"/>
      <c r="J167" s="387" t="e">
        <f t="shared" si="1"/>
        <v>#DIV/0!</v>
      </c>
      <c r="K167" s="305"/>
      <c r="L167" s="305"/>
    </row>
    <row r="168" spans="1:12" ht="12.75">
      <c r="A168" s="305"/>
      <c r="B168" s="305"/>
      <c r="C168" s="1054" t="s">
        <v>39</v>
      </c>
      <c r="D168" s="1055"/>
      <c r="E168" s="371" t="s">
        <v>83</v>
      </c>
      <c r="F168" s="1063" t="e">
        <f t="shared" si="0"/>
        <v>#DIV/0!</v>
      </c>
      <c r="G168" s="1067"/>
      <c r="H168" s="1063">
        <f>'Results from eQUEST'!V19</f>
        <v>0</v>
      </c>
      <c r="I168" s="1067"/>
      <c r="J168" s="387" t="e">
        <f t="shared" si="1"/>
        <v>#DIV/0!</v>
      </c>
      <c r="K168" s="305"/>
      <c r="L168" s="305"/>
    </row>
    <row r="169" spans="1:12" ht="12.75">
      <c r="A169" s="305"/>
      <c r="B169" s="305"/>
      <c r="C169" s="1054" t="s">
        <v>40</v>
      </c>
      <c r="D169" s="1055"/>
      <c r="E169" s="371" t="s">
        <v>83</v>
      </c>
      <c r="F169" s="1063" t="e">
        <f t="shared" si="0"/>
        <v>#DIV/0!</v>
      </c>
      <c r="G169" s="1067"/>
      <c r="H169" s="1063">
        <f>'Results from eQUEST'!L19+'Results from eQUEST'!M19-'LEED for Homes Mid-Rise Form'!H170:I170</f>
        <v>0</v>
      </c>
      <c r="I169" s="1067"/>
      <c r="J169" s="387" t="e">
        <f t="shared" si="1"/>
        <v>#DIV/0!</v>
      </c>
      <c r="K169" s="305"/>
      <c r="L169" s="305"/>
    </row>
    <row r="170" spans="1:12" ht="12.75">
      <c r="A170" s="305"/>
      <c r="B170" s="305"/>
      <c r="C170" s="1054" t="s">
        <v>506</v>
      </c>
      <c r="D170" s="1055"/>
      <c r="E170" s="371" t="s">
        <v>83</v>
      </c>
      <c r="F170" s="1063">
        <f t="shared" si="0"/>
        <v>0</v>
      </c>
      <c r="G170" s="1067"/>
      <c r="H170" s="1063">
        <f>'Reporting Summary'!G90</f>
        <v>0</v>
      </c>
      <c r="I170" s="1067"/>
      <c r="J170" s="387" t="str">
        <f t="shared" si="1"/>
        <v>NA</v>
      </c>
      <c r="K170" s="305"/>
      <c r="L170" s="305"/>
    </row>
    <row r="171" spans="1:12" ht="12.75">
      <c r="A171" s="305"/>
      <c r="B171" s="305"/>
      <c r="C171" s="1054" t="s">
        <v>107</v>
      </c>
      <c r="D171" s="1055"/>
      <c r="E171" s="371" t="s">
        <v>83</v>
      </c>
      <c r="F171" s="1063" t="e">
        <f t="shared" si="0"/>
        <v>#DIV/0!</v>
      </c>
      <c r="G171" s="1067"/>
      <c r="H171" s="1063">
        <f>'Results from eQUEST'!N19+'Results from eQUEST'!T19-'LEED for Homes Mid-Rise Form'!H173:I173-Appliances!I32</f>
        <v>0</v>
      </c>
      <c r="I171" s="1067"/>
      <c r="J171" s="387" t="e">
        <f t="shared" si="1"/>
        <v>#DIV/0!</v>
      </c>
      <c r="K171" s="305"/>
      <c r="L171" s="305"/>
    </row>
    <row r="172" spans="1:12" ht="12.75">
      <c r="A172" s="305"/>
      <c r="B172" s="305"/>
      <c r="C172" s="1054" t="s">
        <v>41</v>
      </c>
      <c r="D172" s="1055"/>
      <c r="E172" s="371" t="s">
        <v>83</v>
      </c>
      <c r="F172" s="1063" t="e">
        <f>J149</f>
        <v>#DIV/0!</v>
      </c>
      <c r="G172" s="1067"/>
      <c r="H172" s="1063">
        <f>'Results from eQUEST'!W19+Appliances!I32+'Results from eQUEST'!R19</f>
        <v>0</v>
      </c>
      <c r="I172" s="1067"/>
      <c r="J172" s="387" t="e">
        <f t="shared" si="1"/>
        <v>#DIV/0!</v>
      </c>
      <c r="K172" s="305"/>
      <c r="L172" s="305"/>
    </row>
    <row r="173" spans="1:12" ht="12.75">
      <c r="A173" s="305"/>
      <c r="B173" s="305"/>
      <c r="C173" s="1054" t="s">
        <v>42</v>
      </c>
      <c r="D173" s="1055"/>
      <c r="E173" s="371" t="s">
        <v>83</v>
      </c>
      <c r="F173" s="1063">
        <f>J148</f>
        <v>0</v>
      </c>
      <c r="G173" s="1067"/>
      <c r="H173" s="1063">
        <f>F173</f>
        <v>0</v>
      </c>
      <c r="I173" s="1067"/>
      <c r="J173" s="388" t="str">
        <f t="shared" si="1"/>
        <v>NA</v>
      </c>
      <c r="K173" s="305"/>
      <c r="L173" s="305"/>
    </row>
    <row r="174" spans="1:12" ht="12.75" customHeight="1">
      <c r="A174" s="305"/>
      <c r="B174" s="305"/>
      <c r="C174" s="1058" t="s">
        <v>43</v>
      </c>
      <c r="D174" s="1073"/>
      <c r="E174" s="1073"/>
      <c r="F174" s="1073"/>
      <c r="G174" s="1073"/>
      <c r="H174" s="1073"/>
      <c r="I174" s="1073"/>
      <c r="J174" s="1074"/>
      <c r="K174" s="305"/>
      <c r="L174" s="305"/>
    </row>
    <row r="175" spans="1:12" ht="12.75">
      <c r="A175" s="305"/>
      <c r="B175" s="305"/>
      <c r="C175" s="1054" t="s">
        <v>37</v>
      </c>
      <c r="D175" s="1066"/>
      <c r="E175" s="368" t="s">
        <v>590</v>
      </c>
      <c r="F175" s="1063" t="e">
        <f>J151</f>
        <v>#DIV/0!</v>
      </c>
      <c r="G175" s="1067"/>
      <c r="H175" s="1063">
        <f>('Results from eQUEST'!BA19+'Results from eQUEST'!BG19)/10</f>
        <v>0</v>
      </c>
      <c r="I175" s="1067"/>
      <c r="J175" s="386" t="e">
        <f t="shared" si="1"/>
        <v>#DIV/0!</v>
      </c>
      <c r="K175" s="305"/>
      <c r="L175" s="305"/>
    </row>
    <row r="176" spans="1:12" ht="12.75" customHeight="1">
      <c r="A176" s="305"/>
      <c r="B176" s="305"/>
      <c r="C176" s="1054" t="s">
        <v>39</v>
      </c>
      <c r="D176" s="1055"/>
      <c r="E176" s="371" t="s">
        <v>590</v>
      </c>
      <c r="F176" s="1063" t="e">
        <f>J152</f>
        <v>#DIV/0!</v>
      </c>
      <c r="G176" s="1067"/>
      <c r="H176" s="1063">
        <f>'Results from eQUEST'!BH19/10</f>
        <v>0</v>
      </c>
      <c r="I176" s="1067"/>
      <c r="J176" s="387" t="e">
        <f t="shared" si="1"/>
        <v>#DIV/0!</v>
      </c>
      <c r="K176" s="305"/>
      <c r="L176" s="305"/>
    </row>
    <row r="177" spans="1:12" ht="12.75">
      <c r="A177" s="305"/>
      <c r="B177" s="305"/>
      <c r="C177" s="1054" t="s">
        <v>107</v>
      </c>
      <c r="D177" s="1055"/>
      <c r="E177" s="373" t="s">
        <v>590</v>
      </c>
      <c r="F177" s="1072" t="e">
        <f>J153</f>
        <v>#DIV/0!</v>
      </c>
      <c r="G177" s="1064"/>
      <c r="H177" s="1072">
        <f>('Results from eQUEST'!AZ19+'Results from eQUEST'!BF19)/10</f>
        <v>0</v>
      </c>
      <c r="I177" s="1064"/>
      <c r="J177" s="388" t="e">
        <f t="shared" si="1"/>
        <v>#DIV/0!</v>
      </c>
      <c r="K177" s="305"/>
      <c r="L177" s="305"/>
    </row>
    <row r="178" spans="1:12" ht="12.75" customHeight="1">
      <c r="A178" s="305"/>
      <c r="B178" s="305"/>
      <c r="C178" s="1058" t="s">
        <v>44</v>
      </c>
      <c r="D178" s="1059"/>
      <c r="E178" s="1065"/>
      <c r="F178" s="1059"/>
      <c r="G178" s="1059"/>
      <c r="H178" s="1059"/>
      <c r="I178" s="1059"/>
      <c r="J178" s="1060"/>
      <c r="K178" s="305"/>
      <c r="L178" s="305"/>
    </row>
    <row r="179" spans="1:12" ht="12.75">
      <c r="A179" s="305"/>
      <c r="B179" s="305"/>
      <c r="C179" s="1054" t="s">
        <v>37</v>
      </c>
      <c r="D179" s="1066"/>
      <c r="E179" s="368" t="s">
        <v>590</v>
      </c>
      <c r="F179" s="1056"/>
      <c r="G179" s="1057"/>
      <c r="H179" s="1056"/>
      <c r="I179" s="1057"/>
      <c r="J179" s="386" t="str">
        <f t="shared" si="1"/>
        <v>NA</v>
      </c>
      <c r="K179" s="305"/>
      <c r="L179" s="305"/>
    </row>
    <row r="180" spans="1:12" ht="12.75" customHeight="1">
      <c r="A180" s="305"/>
      <c r="B180" s="305"/>
      <c r="C180" s="1054" t="s">
        <v>39</v>
      </c>
      <c r="D180" s="1055"/>
      <c r="E180" s="371" t="s">
        <v>590</v>
      </c>
      <c r="F180" s="1056"/>
      <c r="G180" s="1057"/>
      <c r="H180" s="1056"/>
      <c r="I180" s="1057"/>
      <c r="J180" s="387" t="str">
        <f t="shared" si="1"/>
        <v>NA</v>
      </c>
      <c r="K180" s="305"/>
      <c r="L180" s="305"/>
    </row>
    <row r="181" spans="1:12" ht="12.75" customHeight="1">
      <c r="A181" s="305"/>
      <c r="B181" s="305"/>
      <c r="C181" s="1058" t="s">
        <v>45</v>
      </c>
      <c r="D181" s="1059"/>
      <c r="E181" s="1059"/>
      <c r="F181" s="1059"/>
      <c r="G181" s="1059"/>
      <c r="H181" s="1059"/>
      <c r="I181" s="1059"/>
      <c r="J181" s="1060"/>
      <c r="K181" s="305"/>
      <c r="L181" s="305"/>
    </row>
    <row r="182" spans="1:12" ht="12.75">
      <c r="A182" s="305"/>
      <c r="B182" s="305"/>
      <c r="C182" s="1061" t="s">
        <v>35</v>
      </c>
      <c r="D182" s="1062"/>
      <c r="E182" s="368" t="s">
        <v>83</v>
      </c>
      <c r="F182" s="1063">
        <f>J158</f>
      </c>
      <c r="G182" s="1064"/>
      <c r="H182" s="1063">
        <f>SUM(H165:I173)</f>
        <v>0</v>
      </c>
      <c r="I182" s="1064"/>
      <c r="J182" s="386" t="e">
        <f t="shared" si="1"/>
        <v>#VALUE!</v>
      </c>
      <c r="K182" s="305"/>
      <c r="L182" s="305"/>
    </row>
    <row r="183" spans="1:12" ht="12.75">
      <c r="A183" s="305"/>
      <c r="B183" s="305"/>
      <c r="C183" s="1061" t="s">
        <v>43</v>
      </c>
      <c r="D183" s="1062"/>
      <c r="E183" s="371" t="s">
        <v>590</v>
      </c>
      <c r="F183" s="1063">
        <f>J159</f>
        <v>0</v>
      </c>
      <c r="G183" s="1067"/>
      <c r="H183" s="1063">
        <f>SUM(H175:I177)</f>
        <v>0</v>
      </c>
      <c r="I183" s="1067"/>
      <c r="J183" s="387" t="str">
        <f t="shared" si="1"/>
        <v>NA</v>
      </c>
      <c r="K183" s="305"/>
      <c r="L183" s="305"/>
    </row>
    <row r="184" spans="1:12" ht="13.5" thickBot="1">
      <c r="A184" s="305"/>
      <c r="B184" s="305"/>
      <c r="C184" s="1068" t="s">
        <v>46</v>
      </c>
      <c r="D184" s="1069"/>
      <c r="E184" s="382" t="s">
        <v>590</v>
      </c>
      <c r="F184" s="1070">
        <f>J160</f>
        <v>0</v>
      </c>
      <c r="G184" s="1071"/>
      <c r="H184" s="1070">
        <f>SUM(H179:I180)</f>
        <v>0</v>
      </c>
      <c r="I184" s="1071"/>
      <c r="J184" s="389" t="str">
        <f t="shared" si="1"/>
        <v>NA</v>
      </c>
      <c r="K184" s="305"/>
      <c r="L184" s="305"/>
    </row>
    <row r="185" spans="1:12" ht="12.75">
      <c r="A185" s="305"/>
      <c r="B185" s="305"/>
      <c r="C185" s="305"/>
      <c r="D185" s="305"/>
      <c r="E185" s="305"/>
      <c r="F185" s="305"/>
      <c r="G185" s="305"/>
      <c r="H185" s="305"/>
      <c r="I185" s="305"/>
      <c r="J185" s="390"/>
      <c r="K185" s="305"/>
      <c r="L185" s="305"/>
    </row>
  </sheetData>
  <sheetProtection sheet="1" objects="1" scenarios="1"/>
  <mergeCells count="345">
    <mergeCell ref="H100:K100"/>
    <mergeCell ref="E101:G101"/>
    <mergeCell ref="H101:K101"/>
    <mergeCell ref="G40:H40"/>
    <mergeCell ref="I40:K40"/>
    <mergeCell ref="D41:F41"/>
    <mergeCell ref="G41:H41"/>
    <mergeCell ref="I41:K41"/>
    <mergeCell ref="G42:H42"/>
    <mergeCell ref="I43:K43"/>
    <mergeCell ref="B40:C40"/>
    <mergeCell ref="D40:F40"/>
    <mergeCell ref="E105:G105"/>
    <mergeCell ref="E103:G103"/>
    <mergeCell ref="E100:G100"/>
    <mergeCell ref="B41:C41"/>
    <mergeCell ref="B42:C42"/>
    <mergeCell ref="B43:C43"/>
    <mergeCell ref="D43:F43"/>
    <mergeCell ref="G43:H43"/>
    <mergeCell ref="B39:C39"/>
    <mergeCell ref="D39:F39"/>
    <mergeCell ref="G39:H39"/>
    <mergeCell ref="I39:K39"/>
    <mergeCell ref="C19:K19"/>
    <mergeCell ref="C20:K20"/>
    <mergeCell ref="C21:K21"/>
    <mergeCell ref="C22:K22"/>
    <mergeCell ref="H33:K33"/>
    <mergeCell ref="H34:K34"/>
    <mergeCell ref="A4:L4"/>
    <mergeCell ref="B11:K11"/>
    <mergeCell ref="B12:K12"/>
    <mergeCell ref="B13:K13"/>
    <mergeCell ref="B14:K14"/>
    <mergeCell ref="B15:K15"/>
    <mergeCell ref="B17:K17"/>
    <mergeCell ref="C18:K18"/>
    <mergeCell ref="H32:K32"/>
    <mergeCell ref="B2:K3"/>
    <mergeCell ref="B7:K10"/>
    <mergeCell ref="H27:K27"/>
    <mergeCell ref="B28:E30"/>
    <mergeCell ref="H28:K28"/>
    <mergeCell ref="H29:K29"/>
    <mergeCell ref="C23:K23"/>
    <mergeCell ref="B33:E35"/>
    <mergeCell ref="B48:C48"/>
    <mergeCell ref="D48:F48"/>
    <mergeCell ref="G48:H48"/>
    <mergeCell ref="I48:K48"/>
    <mergeCell ref="B47:C47"/>
    <mergeCell ref="D47:F47"/>
    <mergeCell ref="G47:H47"/>
    <mergeCell ref="I47:K47"/>
    <mergeCell ref="D42:F42"/>
    <mergeCell ref="G54:H54"/>
    <mergeCell ref="I54:J54"/>
    <mergeCell ref="B50:C50"/>
    <mergeCell ref="D50:F50"/>
    <mergeCell ref="G50:H50"/>
    <mergeCell ref="I50:K50"/>
    <mergeCell ref="B49:C49"/>
    <mergeCell ref="D49:F49"/>
    <mergeCell ref="G49:H49"/>
    <mergeCell ref="I49:K49"/>
    <mergeCell ref="C57:D57"/>
    <mergeCell ref="E57:F57"/>
    <mergeCell ref="G57:H57"/>
    <mergeCell ref="I57:J57"/>
    <mergeCell ref="C54:D54"/>
    <mergeCell ref="E54:F54"/>
    <mergeCell ref="C55:D55"/>
    <mergeCell ref="E55:F55"/>
    <mergeCell ref="G55:H55"/>
    <mergeCell ref="I55:J55"/>
    <mergeCell ref="C56:D56"/>
    <mergeCell ref="E56:F56"/>
    <mergeCell ref="G56:H56"/>
    <mergeCell ref="I56:J56"/>
    <mergeCell ref="I58:J58"/>
    <mergeCell ref="C59:D59"/>
    <mergeCell ref="E59:F59"/>
    <mergeCell ref="G59:H59"/>
    <mergeCell ref="I59:J59"/>
    <mergeCell ref="G60:H60"/>
    <mergeCell ref="I60:J60"/>
    <mergeCell ref="C65:D65"/>
    <mergeCell ref="C58:D58"/>
    <mergeCell ref="E58:F58"/>
    <mergeCell ref="C60:D60"/>
    <mergeCell ref="E60:F60"/>
    <mergeCell ref="G58:H58"/>
    <mergeCell ref="B75:C75"/>
    <mergeCell ref="E75:G75"/>
    <mergeCell ref="E61:F61"/>
    <mergeCell ref="G61:H61"/>
    <mergeCell ref="I61:J61"/>
    <mergeCell ref="C62:D62"/>
    <mergeCell ref="E62:F62"/>
    <mergeCell ref="G62:H62"/>
    <mergeCell ref="I62:J62"/>
    <mergeCell ref="C64:D64"/>
    <mergeCell ref="H74:K74"/>
    <mergeCell ref="H73:K73"/>
    <mergeCell ref="C66:D66"/>
    <mergeCell ref="B70:C70"/>
    <mergeCell ref="E70:G70"/>
    <mergeCell ref="H70:K70"/>
    <mergeCell ref="B71:K71"/>
    <mergeCell ref="B72:C72"/>
    <mergeCell ref="E72:G72"/>
    <mergeCell ref="H72:K72"/>
    <mergeCell ref="B73:C73"/>
    <mergeCell ref="E73:G73"/>
    <mergeCell ref="B74:C74"/>
    <mergeCell ref="E74:G74"/>
    <mergeCell ref="E80:G80"/>
    <mergeCell ref="H80:K80"/>
    <mergeCell ref="B76:C76"/>
    <mergeCell ref="E76:G76"/>
    <mergeCell ref="H76:K76"/>
    <mergeCell ref="H75:K75"/>
    <mergeCell ref="E83:G83"/>
    <mergeCell ref="H83:K83"/>
    <mergeCell ref="B77:K77"/>
    <mergeCell ref="B78:C78"/>
    <mergeCell ref="E78:G78"/>
    <mergeCell ref="H78:K78"/>
    <mergeCell ref="B79:C79"/>
    <mergeCell ref="E79:G79"/>
    <mergeCell ref="H79:K79"/>
    <mergeCell ref="B80:C80"/>
    <mergeCell ref="E87:G87"/>
    <mergeCell ref="H87:K87"/>
    <mergeCell ref="E85:G85"/>
    <mergeCell ref="B81:C81"/>
    <mergeCell ref="E81:G81"/>
    <mergeCell ref="H81:K81"/>
    <mergeCell ref="B82:C82"/>
    <mergeCell ref="E82:G82"/>
    <mergeCell ref="H82:K82"/>
    <mergeCell ref="B83:C83"/>
    <mergeCell ref="B90:C90"/>
    <mergeCell ref="E90:G90"/>
    <mergeCell ref="H90:K90"/>
    <mergeCell ref="B84:C84"/>
    <mergeCell ref="E84:G84"/>
    <mergeCell ref="H84:K84"/>
    <mergeCell ref="B85:C85"/>
    <mergeCell ref="H85:K85"/>
    <mergeCell ref="B86:K86"/>
    <mergeCell ref="B87:C87"/>
    <mergeCell ref="B88:C88"/>
    <mergeCell ref="E88:G88"/>
    <mergeCell ref="H88:K88"/>
    <mergeCell ref="B89:C89"/>
    <mergeCell ref="E89:G89"/>
    <mergeCell ref="H89:K89"/>
    <mergeCell ref="B94:C94"/>
    <mergeCell ref="E94:G94"/>
    <mergeCell ref="H94:K94"/>
    <mergeCell ref="H93:K93"/>
    <mergeCell ref="E93:G93"/>
    <mergeCell ref="B99:C99"/>
    <mergeCell ref="E95:G95"/>
    <mergeCell ref="H95:K95"/>
    <mergeCell ref="B93:C93"/>
    <mergeCell ref="B97:C97"/>
    <mergeCell ref="B91:C91"/>
    <mergeCell ref="E91:G91"/>
    <mergeCell ref="H91:K91"/>
    <mergeCell ref="B92:C92"/>
    <mergeCell ref="E92:G92"/>
    <mergeCell ref="H92:K92"/>
    <mergeCell ref="E97:G97"/>
    <mergeCell ref="H97:K97"/>
    <mergeCell ref="B98:C98"/>
    <mergeCell ref="B95:C95"/>
    <mergeCell ref="B96:C96"/>
    <mergeCell ref="E96:G96"/>
    <mergeCell ref="H96:K96"/>
    <mergeCell ref="E98:G98"/>
    <mergeCell ref="H98:K98"/>
    <mergeCell ref="E99:G99"/>
    <mergeCell ref="H99:K99"/>
    <mergeCell ref="E108:G108"/>
    <mergeCell ref="H107:K107"/>
    <mergeCell ref="H108:K108"/>
    <mergeCell ref="B100:C100"/>
    <mergeCell ref="B101:C101"/>
    <mergeCell ref="B102:C102"/>
    <mergeCell ref="B103:C103"/>
    <mergeCell ref="B104:C104"/>
    <mergeCell ref="H103:K103"/>
    <mergeCell ref="H105:K105"/>
    <mergeCell ref="B113:C113"/>
    <mergeCell ref="B105:C105"/>
    <mergeCell ref="B106:C106"/>
    <mergeCell ref="B107:C107"/>
    <mergeCell ref="B108:C108"/>
    <mergeCell ref="B109:K109"/>
    <mergeCell ref="B110:C110"/>
    <mergeCell ref="E110:G110"/>
    <mergeCell ref="H110:K110"/>
    <mergeCell ref="E107:G107"/>
    <mergeCell ref="B111:C111"/>
    <mergeCell ref="E111:G111"/>
    <mergeCell ref="H111:K111"/>
    <mergeCell ref="B112:C112"/>
    <mergeCell ref="E112:G112"/>
    <mergeCell ref="H112:K112"/>
    <mergeCell ref="E119:G119"/>
    <mergeCell ref="H119:K119"/>
    <mergeCell ref="B114:C114"/>
    <mergeCell ref="E114:G114"/>
    <mergeCell ref="H114:K114"/>
    <mergeCell ref="B115:C115"/>
    <mergeCell ref="B116:C116"/>
    <mergeCell ref="B122:C122"/>
    <mergeCell ref="E122:G122"/>
    <mergeCell ref="H122:K122"/>
    <mergeCell ref="B117:C117"/>
    <mergeCell ref="E117:G117"/>
    <mergeCell ref="H117:K117"/>
    <mergeCell ref="B118:C118"/>
    <mergeCell ref="E118:G118"/>
    <mergeCell ref="H118:K118"/>
    <mergeCell ref="B119:C119"/>
    <mergeCell ref="B120:C120"/>
    <mergeCell ref="E120:G120"/>
    <mergeCell ref="H120:K120"/>
    <mergeCell ref="B121:C121"/>
    <mergeCell ref="E121:G121"/>
    <mergeCell ref="H121:K121"/>
    <mergeCell ref="B125:C125"/>
    <mergeCell ref="E125:G125"/>
    <mergeCell ref="H125:K125"/>
    <mergeCell ref="B126:C126"/>
    <mergeCell ref="E126:G126"/>
    <mergeCell ref="H126:K126"/>
    <mergeCell ref="B123:K123"/>
    <mergeCell ref="B124:C124"/>
    <mergeCell ref="E124:G124"/>
    <mergeCell ref="H124:K124"/>
    <mergeCell ref="B129:K129"/>
    <mergeCell ref="B130:C130"/>
    <mergeCell ref="E130:G130"/>
    <mergeCell ref="H130:K130"/>
    <mergeCell ref="B127:C127"/>
    <mergeCell ref="E127:G127"/>
    <mergeCell ref="H127:K127"/>
    <mergeCell ref="B128:C128"/>
    <mergeCell ref="H128:K128"/>
    <mergeCell ref="B135:C135"/>
    <mergeCell ref="E135:G135"/>
    <mergeCell ref="H135:K135"/>
    <mergeCell ref="E134:G134"/>
    <mergeCell ref="B133:C133"/>
    <mergeCell ref="E133:G133"/>
    <mergeCell ref="H133:K133"/>
    <mergeCell ref="H134:K134"/>
    <mergeCell ref="B131:C131"/>
    <mergeCell ref="E131:G131"/>
    <mergeCell ref="H131:K131"/>
    <mergeCell ref="B132:K132"/>
    <mergeCell ref="C157:J157"/>
    <mergeCell ref="C140:J140"/>
    <mergeCell ref="C141:D141"/>
    <mergeCell ref="C142:D142"/>
    <mergeCell ref="C143:D143"/>
    <mergeCell ref="C144:D144"/>
    <mergeCell ref="C145:D145"/>
    <mergeCell ref="C146:D146"/>
    <mergeCell ref="C147:D147"/>
    <mergeCell ref="C148:D148"/>
    <mergeCell ref="F165:G165"/>
    <mergeCell ref="H165:I165"/>
    <mergeCell ref="C149:D149"/>
    <mergeCell ref="C150:J150"/>
    <mergeCell ref="C151:D151"/>
    <mergeCell ref="C152:D152"/>
    <mergeCell ref="C153:D153"/>
    <mergeCell ref="C154:J154"/>
    <mergeCell ref="C155:D155"/>
    <mergeCell ref="C156:D156"/>
    <mergeCell ref="C168:D168"/>
    <mergeCell ref="F168:G168"/>
    <mergeCell ref="H168:I168"/>
    <mergeCell ref="C158:D158"/>
    <mergeCell ref="C159:D159"/>
    <mergeCell ref="C160:D160"/>
    <mergeCell ref="F163:G163"/>
    <mergeCell ref="H163:I163"/>
    <mergeCell ref="C164:J164"/>
    <mergeCell ref="C165:D165"/>
    <mergeCell ref="C166:D166"/>
    <mergeCell ref="F166:G166"/>
    <mergeCell ref="H166:I166"/>
    <mergeCell ref="C167:D167"/>
    <mergeCell ref="F167:G167"/>
    <mergeCell ref="H167:I167"/>
    <mergeCell ref="C171:D171"/>
    <mergeCell ref="F171:G171"/>
    <mergeCell ref="H171:I171"/>
    <mergeCell ref="F169:G169"/>
    <mergeCell ref="C169:D169"/>
    <mergeCell ref="H169:I169"/>
    <mergeCell ref="C170:D170"/>
    <mergeCell ref="F170:G170"/>
    <mergeCell ref="H170:I170"/>
    <mergeCell ref="C174:J174"/>
    <mergeCell ref="C175:D175"/>
    <mergeCell ref="F175:G175"/>
    <mergeCell ref="H175:I175"/>
    <mergeCell ref="C172:D172"/>
    <mergeCell ref="F172:G172"/>
    <mergeCell ref="H172:I172"/>
    <mergeCell ref="C173:D173"/>
    <mergeCell ref="F173:G173"/>
    <mergeCell ref="H173:I173"/>
    <mergeCell ref="F179:G179"/>
    <mergeCell ref="H179:I179"/>
    <mergeCell ref="C176:D176"/>
    <mergeCell ref="F176:G176"/>
    <mergeCell ref="H176:I176"/>
    <mergeCell ref="C177:D177"/>
    <mergeCell ref="F177:G177"/>
    <mergeCell ref="H177:I177"/>
    <mergeCell ref="C183:D183"/>
    <mergeCell ref="F183:G183"/>
    <mergeCell ref="H183:I183"/>
    <mergeCell ref="C184:D184"/>
    <mergeCell ref="F184:G184"/>
    <mergeCell ref="H184:I184"/>
    <mergeCell ref="I42:K42"/>
    <mergeCell ref="C180:D180"/>
    <mergeCell ref="F180:G180"/>
    <mergeCell ref="H180:I180"/>
    <mergeCell ref="C181:J181"/>
    <mergeCell ref="C182:D182"/>
    <mergeCell ref="F182:G182"/>
    <mergeCell ref="H182:I182"/>
    <mergeCell ref="C178:J178"/>
    <mergeCell ref="C179:D179"/>
  </mergeCells>
  <dataValidations count="1">
    <dataValidation type="list" allowBlank="1" showInputMessage="1" showErrorMessage="1" sqref="E101:G101 E103:G103">
      <formula1>$AD$94:$AD$95</formula1>
    </dataValidation>
  </dataValidations>
  <printOptions/>
  <pageMargins left="0.25" right="0.25" top="0.75" bottom="0.75" header="0.3" footer="0.3"/>
  <pageSetup fitToHeight="1" fitToWidth="1" horizontalDpi="400" verticalDpi="400" orientation="portrait" scale="30" r:id="rId1"/>
  <headerFooter alignWithMargins="0">
    <oddFooter>&amp;LLEED for Homes Mid-rise Data Collection Form&amp;CPage &amp;P of &amp;N&amp;RFebruary, 2009</oddFooter>
  </headerFooter>
  <rowBreaks count="2" manualBreakCount="2">
    <brk id="52" max="255" man="1"/>
    <brk id="135" max="10" man="1"/>
  </rowBreaks>
  <ignoredErrors>
    <ignoredError sqref="E81:G84 H81:K84 E120 H120 E124 H124 E131 H131" formulaRange="1"/>
  </ignoredErrors>
</worksheet>
</file>

<file path=xl/worksheets/sheet6.xml><?xml version="1.0" encoding="utf-8"?>
<worksheet xmlns="http://schemas.openxmlformats.org/spreadsheetml/2006/main" xmlns:r="http://schemas.openxmlformats.org/officeDocument/2006/relationships">
  <sheetPr>
    <tabColor indexed="60"/>
    <pageSetUpPr fitToPage="1"/>
  </sheetPr>
  <dimension ref="A1:X39"/>
  <sheetViews>
    <sheetView zoomScalePageLayoutView="0" workbookViewId="0" topLeftCell="A1">
      <selection activeCell="H7" sqref="H7"/>
    </sheetView>
  </sheetViews>
  <sheetFormatPr defaultColWidth="9.140625" defaultRowHeight="12.75"/>
  <cols>
    <col min="1" max="1" width="2.00390625" style="742" bestFit="1" customWidth="1"/>
    <col min="2" max="2" width="26.140625" style="742" customWidth="1"/>
    <col min="3" max="3" width="10.7109375" style="742" customWidth="1"/>
    <col min="4" max="23" width="9.140625" style="742" customWidth="1"/>
    <col min="24" max="24" width="0" style="742" hidden="1" customWidth="1"/>
    <col min="25" max="16384" width="9.140625" style="742" customWidth="1"/>
  </cols>
  <sheetData>
    <row r="1" spans="1:24" ht="12.75">
      <c r="A1" s="209"/>
      <c r="B1" s="82" t="s">
        <v>402</v>
      </c>
      <c r="C1" s="209"/>
      <c r="D1" s="209"/>
      <c r="E1" s="209"/>
      <c r="F1" s="209"/>
      <c r="X1" s="742">
        <v>1</v>
      </c>
    </row>
    <row r="2" spans="1:24" ht="12.75">
      <c r="A2" s="209">
        <v>1</v>
      </c>
      <c r="B2" s="391" t="s">
        <v>747</v>
      </c>
      <c r="C2" s="391"/>
      <c r="D2" s="391"/>
      <c r="E2" s="391"/>
      <c r="F2" s="391"/>
      <c r="G2" s="706"/>
      <c r="H2" s="706"/>
      <c r="I2" s="706"/>
      <c r="J2" s="706"/>
      <c r="K2" s="706"/>
      <c r="L2" s="745"/>
      <c r="M2" s="745"/>
      <c r="X2" s="742">
        <v>2</v>
      </c>
    </row>
    <row r="3" spans="1:24" ht="12.75">
      <c r="A3" s="209">
        <v>2</v>
      </c>
      <c r="B3" s="391" t="s">
        <v>709</v>
      </c>
      <c r="C3" s="391"/>
      <c r="D3" s="391"/>
      <c r="E3" s="391"/>
      <c r="F3" s="391"/>
      <c r="G3" s="706"/>
      <c r="H3" s="706"/>
      <c r="I3" s="706"/>
      <c r="J3" s="706"/>
      <c r="K3" s="746"/>
      <c r="L3" s="746"/>
      <c r="M3" s="745"/>
      <c r="X3" s="742">
        <v>3</v>
      </c>
    </row>
    <row r="4" spans="1:24" ht="12.75">
      <c r="A4" s="209">
        <v>3</v>
      </c>
      <c r="B4" s="391" t="s">
        <v>219</v>
      </c>
      <c r="C4" s="391"/>
      <c r="D4" s="391"/>
      <c r="E4" s="391"/>
      <c r="F4" s="392"/>
      <c r="G4" s="745"/>
      <c r="H4" s="745"/>
      <c r="I4" s="745"/>
      <c r="J4" s="745"/>
      <c r="K4" s="745"/>
      <c r="L4" s="745"/>
      <c r="M4" s="745"/>
      <c r="X4" s="742">
        <v>4</v>
      </c>
    </row>
    <row r="5" spans="1:24" ht="12.75">
      <c r="A5" s="209">
        <v>4</v>
      </c>
      <c r="B5" s="393" t="s">
        <v>801</v>
      </c>
      <c r="C5" s="393"/>
      <c r="D5" s="393"/>
      <c r="E5" s="393"/>
      <c r="F5" s="393"/>
      <c r="G5" s="747"/>
      <c r="H5" s="747"/>
      <c r="I5" s="747"/>
      <c r="J5" s="747"/>
      <c r="K5" s="747"/>
      <c r="L5" s="747"/>
      <c r="X5" s="742">
        <v>5</v>
      </c>
    </row>
    <row r="6" spans="1:24" s="745" customFormat="1" ht="12.75">
      <c r="A6" s="392"/>
      <c r="B6" s="392"/>
      <c r="C6" s="392"/>
      <c r="D6" s="392"/>
      <c r="E6" s="392"/>
      <c r="F6" s="392"/>
      <c r="X6" s="745">
        <v>6</v>
      </c>
    </row>
    <row r="7" spans="1:24" s="745" customFormat="1" ht="12.75">
      <c r="A7" s="392"/>
      <c r="B7" s="392" t="s">
        <v>748</v>
      </c>
      <c r="C7" s="423"/>
      <c r="D7" s="392"/>
      <c r="E7" s="392"/>
      <c r="F7" s="392"/>
      <c r="X7" s="745">
        <v>7</v>
      </c>
    </row>
    <row r="8" spans="1:24" s="745" customFormat="1" ht="12.75">
      <c r="A8" s="392"/>
      <c r="B8" s="392" t="s">
        <v>749</v>
      </c>
      <c r="C8" s="423"/>
      <c r="D8" s="392"/>
      <c r="E8" s="392"/>
      <c r="F8" s="392"/>
      <c r="X8" s="745">
        <v>8</v>
      </c>
    </row>
    <row r="9" spans="1:6" s="745" customFormat="1" ht="12.75">
      <c r="A9" s="392"/>
      <c r="B9" s="392"/>
      <c r="C9" s="392"/>
      <c r="D9" s="392"/>
      <c r="E9" s="392"/>
      <c r="F9" s="392"/>
    </row>
    <row r="10" spans="1:24" ht="12.75">
      <c r="A10" s="209"/>
      <c r="B10" s="394" t="s">
        <v>707</v>
      </c>
      <c r="C10" s="1236" t="s">
        <v>231</v>
      </c>
      <c r="D10" s="1236"/>
      <c r="E10" s="1236" t="s">
        <v>708</v>
      </c>
      <c r="F10" s="1236"/>
      <c r="X10" s="742" t="s">
        <v>750</v>
      </c>
    </row>
    <row r="11" spans="1:24" ht="13.5" thickBot="1">
      <c r="A11" s="209"/>
      <c r="B11" s="395"/>
      <c r="C11" s="395" t="s">
        <v>241</v>
      </c>
      <c r="D11" s="209" t="s">
        <v>242</v>
      </c>
      <c r="E11" s="395" t="s">
        <v>241</v>
      </c>
      <c r="F11" s="209" t="s">
        <v>242</v>
      </c>
      <c r="G11" s="742" t="s">
        <v>159</v>
      </c>
      <c r="X11" s="742" t="s">
        <v>339</v>
      </c>
    </row>
    <row r="12" spans="1:6" ht="13.5" thickBot="1">
      <c r="A12" s="209"/>
      <c r="B12" s="396" t="s">
        <v>313</v>
      </c>
      <c r="C12" s="424"/>
      <c r="D12" s="424"/>
      <c r="E12" s="424"/>
      <c r="F12" s="424"/>
    </row>
    <row r="13" spans="1:6" ht="13.5" thickBot="1">
      <c r="A13" s="209"/>
      <c r="B13" s="396" t="s">
        <v>312</v>
      </c>
      <c r="C13" s="424"/>
      <c r="D13" s="424"/>
      <c r="E13" s="424"/>
      <c r="F13" s="424"/>
    </row>
    <row r="14" spans="1:6" ht="12.75">
      <c r="A14" s="209"/>
      <c r="B14" s="397"/>
      <c r="C14" s="398"/>
      <c r="D14" s="398"/>
      <c r="E14" s="398"/>
      <c r="F14" s="398"/>
    </row>
    <row r="15" spans="1:6" ht="12.75">
      <c r="A15" s="209"/>
      <c r="B15" s="397" t="s">
        <v>802</v>
      </c>
      <c r="C15" s="399">
        <f>C12*1.15</f>
        <v>0</v>
      </c>
      <c r="D15" s="399">
        <f>D12*1.15</f>
        <v>0</v>
      </c>
      <c r="E15" s="399">
        <f>E12*1.15</f>
        <v>0</v>
      </c>
      <c r="F15" s="399">
        <f>F12*1.15</f>
        <v>0</v>
      </c>
    </row>
    <row r="16" spans="1:6" ht="12.75">
      <c r="A16" s="209"/>
      <c r="B16" s="397" t="s">
        <v>803</v>
      </c>
      <c r="C16" s="399" t="e">
        <f>1/(1/C13-0.17)</f>
        <v>#DIV/0!</v>
      </c>
      <c r="D16" s="399" t="e">
        <f>1/(1/D13-0.17)</f>
        <v>#DIV/0!</v>
      </c>
      <c r="E16" s="399" t="e">
        <f>1/(1/E13-0.17)</f>
        <v>#DIV/0!</v>
      </c>
      <c r="F16" s="399" t="e">
        <f>1/(1/F13-0.17)</f>
        <v>#DIV/0!</v>
      </c>
    </row>
    <row r="17" spans="1:6" ht="12.75">
      <c r="A17" s="209"/>
      <c r="B17" s="209"/>
      <c r="C17" s="209"/>
      <c r="D17" s="209"/>
      <c r="E17" s="209"/>
      <c r="F17" s="209"/>
    </row>
    <row r="18" spans="1:6" ht="12.75">
      <c r="A18" s="209"/>
      <c r="B18" s="209"/>
      <c r="C18" s="209"/>
      <c r="D18" s="209"/>
      <c r="E18" s="209"/>
      <c r="F18" s="209"/>
    </row>
    <row r="19" spans="1:18" ht="13.5" thickBot="1">
      <c r="A19" s="209"/>
      <c r="B19" s="400" t="s">
        <v>231</v>
      </c>
      <c r="C19" s="1237" t="s">
        <v>733</v>
      </c>
      <c r="D19" s="1237"/>
      <c r="E19" s="1237" t="s">
        <v>739</v>
      </c>
      <c r="F19" s="1237"/>
      <c r="G19" s="1237" t="s">
        <v>740</v>
      </c>
      <c r="H19" s="1237"/>
      <c r="I19" s="1237" t="s">
        <v>741</v>
      </c>
      <c r="J19" s="1237"/>
      <c r="K19" s="1237" t="s">
        <v>742</v>
      </c>
      <c r="L19" s="1237"/>
      <c r="M19" s="1237" t="s">
        <v>743</v>
      </c>
      <c r="N19" s="1237"/>
      <c r="O19" s="1237" t="s">
        <v>744</v>
      </c>
      <c r="P19" s="1237"/>
      <c r="Q19" s="1237" t="s">
        <v>746</v>
      </c>
      <c r="R19" s="1237"/>
    </row>
    <row r="20" spans="1:18" ht="12.75">
      <c r="A20" s="209"/>
      <c r="B20" s="401"/>
      <c r="C20" s="402" t="s">
        <v>738</v>
      </c>
      <c r="D20" s="403" t="s">
        <v>499</v>
      </c>
      <c r="E20" s="402" t="s">
        <v>738</v>
      </c>
      <c r="F20" s="403" t="s">
        <v>499</v>
      </c>
      <c r="G20" s="402" t="s">
        <v>738</v>
      </c>
      <c r="H20" s="403" t="s">
        <v>499</v>
      </c>
      <c r="I20" s="402" t="s">
        <v>738</v>
      </c>
      <c r="J20" s="403" t="s">
        <v>499</v>
      </c>
      <c r="K20" s="402" t="s">
        <v>738</v>
      </c>
      <c r="L20" s="403" t="s">
        <v>499</v>
      </c>
      <c r="M20" s="402" t="s">
        <v>738</v>
      </c>
      <c r="N20" s="403" t="s">
        <v>499</v>
      </c>
      <c r="O20" s="402" t="s">
        <v>738</v>
      </c>
      <c r="P20" s="403" t="s">
        <v>499</v>
      </c>
      <c r="Q20" s="402" t="s">
        <v>738</v>
      </c>
      <c r="R20" s="403" t="s">
        <v>499</v>
      </c>
    </row>
    <row r="21" spans="1:18" ht="12.75">
      <c r="A21" s="209"/>
      <c r="B21" s="404" t="s">
        <v>735</v>
      </c>
      <c r="C21" s="405">
        <v>1.2</v>
      </c>
      <c r="D21" s="406">
        <v>0.25</v>
      </c>
      <c r="E21" s="405">
        <v>0.75</v>
      </c>
      <c r="F21" s="406">
        <v>0.25</v>
      </c>
      <c r="G21" s="407">
        <v>0.65</v>
      </c>
      <c r="H21" s="406">
        <v>0.25</v>
      </c>
      <c r="I21" s="408">
        <v>0.4</v>
      </c>
      <c r="J21" s="409">
        <v>0.4</v>
      </c>
      <c r="K21" s="410">
        <v>0.35</v>
      </c>
      <c r="L21" s="409">
        <v>0.4</v>
      </c>
      <c r="M21" s="410">
        <v>0.35</v>
      </c>
      <c r="N21" s="409">
        <v>0.4</v>
      </c>
      <c r="O21" s="410">
        <v>0.35</v>
      </c>
      <c r="P21" s="411" t="s">
        <v>745</v>
      </c>
      <c r="Q21" s="410">
        <v>0.35</v>
      </c>
      <c r="R21" s="411" t="s">
        <v>745</v>
      </c>
    </row>
    <row r="22" spans="1:18" ht="12.75">
      <c r="A22" s="209"/>
      <c r="B22" s="404" t="s">
        <v>737</v>
      </c>
      <c r="C22" s="405">
        <v>1.2</v>
      </c>
      <c r="D22" s="406">
        <v>0.25</v>
      </c>
      <c r="E22" s="405">
        <v>0.7</v>
      </c>
      <c r="F22" s="406">
        <v>0.25</v>
      </c>
      <c r="G22" s="405">
        <v>0.6</v>
      </c>
      <c r="H22" s="406">
        <v>0.25</v>
      </c>
      <c r="I22" s="408">
        <v>0.5</v>
      </c>
      <c r="J22" s="409">
        <v>0.4</v>
      </c>
      <c r="K22" s="410">
        <v>0.45</v>
      </c>
      <c r="L22" s="409">
        <v>0.4</v>
      </c>
      <c r="M22" s="410">
        <v>0.45</v>
      </c>
      <c r="N22" s="409">
        <v>0.4</v>
      </c>
      <c r="O22" s="408">
        <v>0.4</v>
      </c>
      <c r="P22" s="411" t="s">
        <v>745</v>
      </c>
      <c r="Q22" s="408">
        <v>0.4</v>
      </c>
      <c r="R22" s="411" t="s">
        <v>745</v>
      </c>
    </row>
    <row r="23" spans="1:18" ht="12.75">
      <c r="A23" s="209"/>
      <c r="B23" s="404" t="s">
        <v>736</v>
      </c>
      <c r="C23" s="405">
        <v>1.2</v>
      </c>
      <c r="D23" s="406">
        <v>0.25</v>
      </c>
      <c r="E23" s="405">
        <v>1.1</v>
      </c>
      <c r="F23" s="406">
        <v>0.25</v>
      </c>
      <c r="G23" s="405">
        <v>0.9</v>
      </c>
      <c r="H23" s="406">
        <v>0.25</v>
      </c>
      <c r="I23" s="410">
        <v>0.85</v>
      </c>
      <c r="J23" s="409">
        <v>0.4</v>
      </c>
      <c r="K23" s="408">
        <v>0.8</v>
      </c>
      <c r="L23" s="409">
        <v>0.4</v>
      </c>
      <c r="M23" s="408">
        <v>0.8</v>
      </c>
      <c r="N23" s="409">
        <v>0.4</v>
      </c>
      <c r="O23" s="408">
        <v>0.8</v>
      </c>
      <c r="P23" s="411" t="s">
        <v>745</v>
      </c>
      <c r="Q23" s="408">
        <v>0.8</v>
      </c>
      <c r="R23" s="411" t="s">
        <v>745</v>
      </c>
    </row>
    <row r="24" spans="1:18" ht="12.75">
      <c r="A24" s="209"/>
      <c r="B24" s="412" t="s">
        <v>734</v>
      </c>
      <c r="C24" s="413">
        <v>1.2</v>
      </c>
      <c r="D24" s="414">
        <v>0.25</v>
      </c>
      <c r="E24" s="413">
        <v>0.75</v>
      </c>
      <c r="F24" s="414">
        <v>0.25</v>
      </c>
      <c r="G24" s="415">
        <v>0.65</v>
      </c>
      <c r="H24" s="414">
        <v>0.25</v>
      </c>
      <c r="I24" s="416">
        <v>0.55</v>
      </c>
      <c r="J24" s="417">
        <v>0.4</v>
      </c>
      <c r="K24" s="416">
        <v>0.55</v>
      </c>
      <c r="L24" s="417">
        <v>0.4</v>
      </c>
      <c r="M24" s="416">
        <v>0.55</v>
      </c>
      <c r="N24" s="417">
        <v>0.4</v>
      </c>
      <c r="O24" s="416">
        <v>0.45</v>
      </c>
      <c r="P24" s="418" t="s">
        <v>745</v>
      </c>
      <c r="Q24" s="416">
        <v>0.45</v>
      </c>
      <c r="R24" s="418" t="s">
        <v>745</v>
      </c>
    </row>
    <row r="25" spans="1:18" ht="12.75">
      <c r="A25" s="209"/>
      <c r="B25" s="419"/>
      <c r="C25" s="419"/>
      <c r="D25" s="420"/>
      <c r="E25" s="419"/>
      <c r="F25" s="420"/>
      <c r="G25" s="419"/>
      <c r="H25" s="421"/>
      <c r="I25" s="209"/>
      <c r="J25" s="421"/>
      <c r="K25" s="209"/>
      <c r="L25" s="421"/>
      <c r="M25" s="209"/>
      <c r="N25" s="421"/>
      <c r="O25" s="209"/>
      <c r="P25" s="421"/>
      <c r="Q25" s="209"/>
      <c r="R25" s="421"/>
    </row>
    <row r="26" spans="1:18" ht="12.75">
      <c r="A26" s="209"/>
      <c r="B26" s="209"/>
      <c r="C26" s="209"/>
      <c r="D26" s="421"/>
      <c r="E26" s="209"/>
      <c r="F26" s="421"/>
      <c r="G26" s="209"/>
      <c r="H26" s="421"/>
      <c r="I26" s="209"/>
      <c r="J26" s="421"/>
      <c r="K26" s="209"/>
      <c r="L26" s="421"/>
      <c r="M26" s="209"/>
      <c r="N26" s="421"/>
      <c r="O26" s="209"/>
      <c r="P26" s="421"/>
      <c r="Q26" s="209"/>
      <c r="R26" s="421"/>
    </row>
    <row r="27" spans="1:18" ht="13.5" thickBot="1">
      <c r="A27" s="209"/>
      <c r="B27" s="400" t="s">
        <v>708</v>
      </c>
      <c r="C27" s="1237" t="s">
        <v>733</v>
      </c>
      <c r="D27" s="1238"/>
      <c r="E27" s="1237" t="s">
        <v>739</v>
      </c>
      <c r="F27" s="1238"/>
      <c r="G27" s="1237" t="s">
        <v>740</v>
      </c>
      <c r="H27" s="1238"/>
      <c r="I27" s="1237" t="s">
        <v>741</v>
      </c>
      <c r="J27" s="1238"/>
      <c r="K27" s="1237" t="s">
        <v>742</v>
      </c>
      <c r="L27" s="1238"/>
      <c r="M27" s="1237" t="s">
        <v>743</v>
      </c>
      <c r="N27" s="1238"/>
      <c r="O27" s="1237" t="s">
        <v>744</v>
      </c>
      <c r="P27" s="1238"/>
      <c r="Q27" s="1237" t="s">
        <v>746</v>
      </c>
      <c r="R27" s="1238"/>
    </row>
    <row r="28" spans="1:18" ht="12.75">
      <c r="A28" s="209"/>
      <c r="B28" s="401"/>
      <c r="C28" s="402" t="s">
        <v>738</v>
      </c>
      <c r="D28" s="403" t="s">
        <v>499</v>
      </c>
      <c r="E28" s="402" t="s">
        <v>738</v>
      </c>
      <c r="F28" s="403" t="s">
        <v>499</v>
      </c>
      <c r="G28" s="402" t="s">
        <v>738</v>
      </c>
      <c r="H28" s="403" t="s">
        <v>499</v>
      </c>
      <c r="I28" s="402" t="s">
        <v>738</v>
      </c>
      <c r="J28" s="403" t="s">
        <v>499</v>
      </c>
      <c r="K28" s="402" t="s">
        <v>738</v>
      </c>
      <c r="L28" s="403" t="s">
        <v>499</v>
      </c>
      <c r="M28" s="402" t="s">
        <v>738</v>
      </c>
      <c r="N28" s="403" t="s">
        <v>499</v>
      </c>
      <c r="O28" s="402" t="s">
        <v>738</v>
      </c>
      <c r="P28" s="403" t="s">
        <v>499</v>
      </c>
      <c r="Q28" s="402" t="s">
        <v>738</v>
      </c>
      <c r="R28" s="403" t="s">
        <v>499</v>
      </c>
    </row>
    <row r="29" spans="1:18" ht="12.75">
      <c r="A29" s="209"/>
      <c r="B29" s="404" t="s">
        <v>735</v>
      </c>
      <c r="C29" s="405">
        <v>1.2</v>
      </c>
      <c r="D29" s="406">
        <v>0.25</v>
      </c>
      <c r="E29" s="405">
        <v>0.75</v>
      </c>
      <c r="F29" s="406">
        <v>0.25</v>
      </c>
      <c r="G29" s="407">
        <v>0.65</v>
      </c>
      <c r="H29" s="406">
        <v>0.25</v>
      </c>
      <c r="I29" s="408">
        <v>0.4</v>
      </c>
      <c r="J29" s="409">
        <v>0.4</v>
      </c>
      <c r="K29" s="410">
        <v>0.35</v>
      </c>
      <c r="L29" s="409">
        <v>0.4</v>
      </c>
      <c r="M29" s="410">
        <v>0.35</v>
      </c>
      <c r="N29" s="409">
        <v>0.4</v>
      </c>
      <c r="O29" s="408">
        <v>0.35</v>
      </c>
      <c r="P29" s="411">
        <v>0.45</v>
      </c>
      <c r="Q29" s="410">
        <v>0.35</v>
      </c>
      <c r="R29" s="411">
        <v>0.45</v>
      </c>
    </row>
    <row r="30" spans="1:18" ht="12.75">
      <c r="A30" s="209"/>
      <c r="B30" s="404" t="s">
        <v>737</v>
      </c>
      <c r="C30" s="405">
        <v>1.2</v>
      </c>
      <c r="D30" s="406">
        <v>0.25</v>
      </c>
      <c r="E30" s="405">
        <v>0.7</v>
      </c>
      <c r="F30" s="406">
        <v>0.25</v>
      </c>
      <c r="G30" s="405">
        <v>0.6</v>
      </c>
      <c r="H30" s="406">
        <v>0.25</v>
      </c>
      <c r="I30" s="408">
        <v>0.5</v>
      </c>
      <c r="J30" s="409">
        <v>0.4</v>
      </c>
      <c r="K30" s="410">
        <v>0.45</v>
      </c>
      <c r="L30" s="409">
        <v>0.4</v>
      </c>
      <c r="M30" s="410">
        <v>0.45</v>
      </c>
      <c r="N30" s="409">
        <v>0.4</v>
      </c>
      <c r="O30" s="408">
        <v>0.4</v>
      </c>
      <c r="P30" s="411">
        <v>0.45</v>
      </c>
      <c r="Q30" s="408">
        <v>0.4</v>
      </c>
      <c r="R30" s="411">
        <v>0.45</v>
      </c>
    </row>
    <row r="31" spans="1:18" ht="12.75">
      <c r="A31" s="209"/>
      <c r="B31" s="404" t="s">
        <v>736</v>
      </c>
      <c r="C31" s="405">
        <v>1.2</v>
      </c>
      <c r="D31" s="406">
        <v>0.25</v>
      </c>
      <c r="E31" s="405">
        <v>1.1</v>
      </c>
      <c r="F31" s="406">
        <v>0.25</v>
      </c>
      <c r="G31" s="405">
        <v>0.9</v>
      </c>
      <c r="H31" s="406">
        <v>0.25</v>
      </c>
      <c r="I31" s="410">
        <v>0.85</v>
      </c>
      <c r="J31" s="409">
        <v>0.4</v>
      </c>
      <c r="K31" s="408">
        <v>0.8</v>
      </c>
      <c r="L31" s="409">
        <v>0.4</v>
      </c>
      <c r="M31" s="408">
        <v>0.8</v>
      </c>
      <c r="N31" s="409">
        <v>0.4</v>
      </c>
      <c r="O31" s="408">
        <v>0.8</v>
      </c>
      <c r="P31" s="411">
        <v>0.45</v>
      </c>
      <c r="Q31" s="408">
        <v>0.8</v>
      </c>
      <c r="R31" s="411">
        <v>0.45</v>
      </c>
    </row>
    <row r="32" spans="1:18" ht="12.75">
      <c r="A32" s="209"/>
      <c r="B32" s="412" t="s">
        <v>734</v>
      </c>
      <c r="C32" s="413">
        <v>1.2</v>
      </c>
      <c r="D32" s="414">
        <v>0.25</v>
      </c>
      <c r="E32" s="413">
        <v>0.75</v>
      </c>
      <c r="F32" s="414">
        <v>0.25</v>
      </c>
      <c r="G32" s="415">
        <v>0.65</v>
      </c>
      <c r="H32" s="414">
        <v>0.25</v>
      </c>
      <c r="I32" s="416">
        <v>0.55</v>
      </c>
      <c r="J32" s="417">
        <v>0.4</v>
      </c>
      <c r="K32" s="416">
        <v>0.55</v>
      </c>
      <c r="L32" s="417">
        <v>0.4</v>
      </c>
      <c r="M32" s="416">
        <v>0.55</v>
      </c>
      <c r="N32" s="417">
        <v>0.4</v>
      </c>
      <c r="O32" s="422">
        <v>0.45</v>
      </c>
      <c r="P32" s="418">
        <v>0.45</v>
      </c>
      <c r="Q32" s="416">
        <v>0.45</v>
      </c>
      <c r="R32" s="418">
        <v>0.45</v>
      </c>
    </row>
    <row r="33" spans="2:7" s="24" customFormat="1" ht="12.75">
      <c r="B33" s="33"/>
      <c r="C33" s="33"/>
      <c r="D33" s="33"/>
      <c r="E33" s="33"/>
      <c r="F33" s="33"/>
      <c r="G33" s="33"/>
    </row>
    <row r="34" spans="2:7" ht="12.75">
      <c r="B34" s="741"/>
      <c r="C34" s="741"/>
      <c r="D34" s="741"/>
      <c r="E34" s="741"/>
      <c r="F34" s="741"/>
      <c r="G34" s="741"/>
    </row>
    <row r="35" spans="2:7" ht="12.75">
      <c r="B35" s="741"/>
      <c r="C35" s="743"/>
      <c r="D35" s="741"/>
      <c r="E35" s="743"/>
      <c r="F35" s="741"/>
      <c r="G35" s="741"/>
    </row>
    <row r="36" spans="2:7" ht="12.75">
      <c r="B36" s="741"/>
      <c r="C36" s="741"/>
      <c r="D36" s="741"/>
      <c r="E36" s="741"/>
      <c r="F36" s="741"/>
      <c r="G36" s="741"/>
    </row>
    <row r="37" spans="2:7" ht="12.75">
      <c r="B37" s="741"/>
      <c r="C37" s="744"/>
      <c r="D37" s="744"/>
      <c r="E37" s="744"/>
      <c r="F37" s="744"/>
      <c r="G37" s="741"/>
    </row>
    <row r="38" spans="2:7" ht="12.75">
      <c r="B38" s="741"/>
      <c r="C38" s="744"/>
      <c r="D38" s="744"/>
      <c r="E38" s="744"/>
      <c r="F38" s="744"/>
      <c r="G38" s="741"/>
    </row>
    <row r="39" spans="2:7" ht="12.75">
      <c r="B39" s="741"/>
      <c r="C39" s="741"/>
      <c r="D39" s="741"/>
      <c r="E39" s="741"/>
      <c r="F39" s="741"/>
      <c r="G39" s="741"/>
    </row>
  </sheetData>
  <sheetProtection sheet="1" objects="1" scenarios="1"/>
  <mergeCells count="18">
    <mergeCell ref="O19:P19"/>
    <mergeCell ref="K19:L19"/>
    <mergeCell ref="M19:N19"/>
    <mergeCell ref="K27:L27"/>
    <mergeCell ref="C27:D27"/>
    <mergeCell ref="E27:F27"/>
    <mergeCell ref="G27:H27"/>
    <mergeCell ref="I27:J27"/>
    <mergeCell ref="C10:D10"/>
    <mergeCell ref="E10:F10"/>
    <mergeCell ref="C19:D19"/>
    <mergeCell ref="E19:F19"/>
    <mergeCell ref="Q19:R19"/>
    <mergeCell ref="M27:N27"/>
    <mergeCell ref="O27:P27"/>
    <mergeCell ref="Q27:R27"/>
    <mergeCell ref="G19:H19"/>
    <mergeCell ref="I19:J19"/>
  </mergeCells>
  <conditionalFormatting sqref="C19:D32">
    <cfRule type="expression" priority="8" dxfId="1" stopIfTrue="1">
      <formula>IF($C$7=1,TRUE,FALSE)</formula>
    </cfRule>
  </conditionalFormatting>
  <conditionalFormatting sqref="E19:F32">
    <cfRule type="expression" priority="7" dxfId="1" stopIfTrue="1">
      <formula>IF($C$7=2,TRUE,FALSE)</formula>
    </cfRule>
  </conditionalFormatting>
  <conditionalFormatting sqref="G19:H32">
    <cfRule type="expression" priority="6" dxfId="1" stopIfTrue="1">
      <formula>IF($C$7=3,TRUE,FALSE)</formula>
    </cfRule>
  </conditionalFormatting>
  <conditionalFormatting sqref="I19:J32">
    <cfRule type="expression" priority="5" dxfId="1" stopIfTrue="1">
      <formula>IF($C$7=4,TRUE,FALSE)</formula>
    </cfRule>
  </conditionalFormatting>
  <conditionalFormatting sqref="K19:L32">
    <cfRule type="expression" priority="4" dxfId="1" stopIfTrue="1">
      <formula>IF($C$7=5,TRUE,FALSE)</formula>
    </cfRule>
  </conditionalFormatting>
  <conditionalFormatting sqref="M19:N32">
    <cfRule type="expression" priority="3" dxfId="1" stopIfTrue="1">
      <formula>IF($C$7=6,TRUE,FALSE)</formula>
    </cfRule>
  </conditionalFormatting>
  <conditionalFormatting sqref="O19:P32">
    <cfRule type="expression" priority="2" dxfId="1" stopIfTrue="1">
      <formula>IF($C$7=7,TRUE,FALSE)</formula>
    </cfRule>
  </conditionalFormatting>
  <conditionalFormatting sqref="Q19:R32">
    <cfRule type="expression" priority="1" dxfId="1" stopIfTrue="1">
      <formula>IF($C$7=8,TRUE,FALSE)</formula>
    </cfRule>
  </conditionalFormatting>
  <dataValidations count="2">
    <dataValidation type="list" allowBlank="1" showInputMessage="1" showErrorMessage="1" sqref="C7">
      <formula1>$X$1:$X$8</formula1>
    </dataValidation>
    <dataValidation type="list" allowBlank="1" showInputMessage="1" showErrorMessage="1" sqref="C8">
      <formula1>$X$10:$X$11</formula1>
    </dataValidation>
  </dataValidations>
  <printOptions/>
  <pageMargins left="0.7" right="0.7" top="0.75" bottom="0.75" header="0.3" footer="0.3"/>
  <pageSetup fitToHeight="1" fitToWidth="1" horizontalDpi="600" verticalDpi="600" orientation="landscape" scale="70" r:id="rId1"/>
</worksheet>
</file>

<file path=xl/worksheets/sheet7.xml><?xml version="1.0" encoding="utf-8"?>
<worksheet xmlns="http://schemas.openxmlformats.org/spreadsheetml/2006/main" xmlns:r="http://schemas.openxmlformats.org/officeDocument/2006/relationships">
  <sheetPr>
    <tabColor theme="9" tint="-0.4999699890613556"/>
    <pageSetUpPr fitToPage="1"/>
  </sheetPr>
  <dimension ref="A1:J36"/>
  <sheetViews>
    <sheetView zoomScalePageLayoutView="0" workbookViewId="0" topLeftCell="A1">
      <selection activeCell="E38" sqref="E38"/>
    </sheetView>
  </sheetViews>
  <sheetFormatPr defaultColWidth="9.140625" defaultRowHeight="12.75"/>
  <cols>
    <col min="1" max="1" width="2.140625" style="748" bestFit="1" customWidth="1"/>
    <col min="2" max="2" width="31.57421875" style="748" bestFit="1" customWidth="1"/>
    <col min="3" max="3" width="44.57421875" style="748" customWidth="1"/>
    <col min="4" max="4" width="38.140625" style="748" customWidth="1"/>
    <col min="5" max="5" width="34.8515625" style="748" customWidth="1"/>
    <col min="6" max="6" width="33.00390625" style="748" bestFit="1" customWidth="1"/>
    <col min="7" max="16384" width="9.140625" style="748" customWidth="1"/>
  </cols>
  <sheetData>
    <row r="1" spans="1:5" ht="15">
      <c r="A1" s="425"/>
      <c r="B1" s="426" t="s">
        <v>247</v>
      </c>
      <c r="C1" s="427"/>
      <c r="D1" s="427"/>
      <c r="E1" s="427"/>
    </row>
    <row r="2" spans="1:5" ht="15">
      <c r="A2" s="428">
        <v>1</v>
      </c>
      <c r="B2" s="429" t="s">
        <v>530</v>
      </c>
      <c r="C2" s="427"/>
      <c r="D2" s="427"/>
      <c r="E2" s="427"/>
    </row>
    <row r="3" spans="1:5" ht="15">
      <c r="A3" s="428">
        <v>2</v>
      </c>
      <c r="B3" s="1240" t="s">
        <v>531</v>
      </c>
      <c r="C3" s="1240"/>
      <c r="D3" s="1240"/>
      <c r="E3" s="1240"/>
    </row>
    <row r="4" spans="1:10" s="750" customFormat="1" ht="15">
      <c r="A4" s="428">
        <v>3</v>
      </c>
      <c r="B4" s="1239" t="s">
        <v>532</v>
      </c>
      <c r="C4" s="1239"/>
      <c r="D4" s="1239"/>
      <c r="E4" s="1239"/>
      <c r="F4" s="749"/>
      <c r="G4" s="749"/>
      <c r="H4" s="749"/>
      <c r="I4" s="749"/>
      <c r="J4" s="749"/>
    </row>
    <row r="5" spans="1:10" s="750" customFormat="1" ht="15">
      <c r="A5" s="430">
        <v>4</v>
      </c>
      <c r="B5" s="1239" t="s">
        <v>533</v>
      </c>
      <c r="C5" s="1239"/>
      <c r="D5" s="1239"/>
      <c r="E5" s="1239"/>
      <c r="F5" s="749"/>
      <c r="G5" s="749"/>
      <c r="H5" s="749"/>
      <c r="I5" s="749"/>
      <c r="J5" s="749"/>
    </row>
    <row r="6" spans="1:10" s="750" customFormat="1" ht="40.5" customHeight="1">
      <c r="A6" s="430">
        <v>5</v>
      </c>
      <c r="B6" s="1239" t="s">
        <v>534</v>
      </c>
      <c r="C6" s="1239"/>
      <c r="D6" s="1239"/>
      <c r="E6" s="1239"/>
      <c r="F6" s="749"/>
      <c r="G6" s="749"/>
      <c r="H6" s="749"/>
      <c r="I6" s="749"/>
      <c r="J6" s="749"/>
    </row>
    <row r="7" spans="1:10" s="750" customFormat="1" ht="15">
      <c r="A7" s="430">
        <v>6</v>
      </c>
      <c r="B7" s="1239" t="s">
        <v>550</v>
      </c>
      <c r="C7" s="1239"/>
      <c r="D7" s="1239"/>
      <c r="E7" s="1239"/>
      <c r="F7" s="749"/>
      <c r="G7" s="749"/>
      <c r="H7" s="749"/>
      <c r="I7" s="749"/>
      <c r="J7" s="749"/>
    </row>
    <row r="8" spans="1:10" ht="18" customHeight="1">
      <c r="A8" s="431"/>
      <c r="B8" s="432" t="s">
        <v>551</v>
      </c>
      <c r="C8" s="460"/>
      <c r="D8" s="433"/>
      <c r="E8" s="433"/>
      <c r="F8" s="751"/>
      <c r="G8" s="751"/>
      <c r="H8" s="751"/>
      <c r="I8" s="751"/>
      <c r="J8" s="751"/>
    </row>
    <row r="9" spans="1:6" ht="15">
      <c r="A9" s="431"/>
      <c r="B9" s="432" t="s">
        <v>535</v>
      </c>
      <c r="C9" s="434">
        <f>'Basic Info'!C7+'Basic Info'!C8+2*'Basic Info'!C9+3*'Basic Info'!C10+4*'Basic Info'!C11</f>
        <v>0</v>
      </c>
      <c r="D9" s="431"/>
      <c r="E9" s="435"/>
      <c r="F9" s="750"/>
    </row>
    <row r="10" spans="1:6" ht="15">
      <c r="A10" s="431"/>
      <c r="B10" s="432" t="s">
        <v>536</v>
      </c>
      <c r="C10" s="434">
        <f>IF('DHW Demand'!G14="Y",430*'DHW Demand'!G21,0)</f>
        <v>0</v>
      </c>
      <c r="D10" s="431"/>
      <c r="E10" s="436"/>
      <c r="F10" s="752"/>
    </row>
    <row r="11" spans="1:6" ht="15">
      <c r="A11" s="431"/>
      <c r="B11" s="432" t="s">
        <v>537</v>
      </c>
      <c r="C11" s="434">
        <f>('DHW Demand'!G10-'DHW Demand'!G11)*'DHW Demand'!G22</f>
        <v>0</v>
      </c>
      <c r="D11" s="431"/>
      <c r="E11" s="436"/>
      <c r="F11" s="752"/>
    </row>
    <row r="12" spans="1:6" ht="15">
      <c r="A12" s="431"/>
      <c r="B12" s="431"/>
      <c r="C12" s="431"/>
      <c r="D12" s="431"/>
      <c r="E12" s="437"/>
      <c r="F12" s="752"/>
    </row>
    <row r="13" spans="1:6" ht="15">
      <c r="A13" s="431"/>
      <c r="B13" s="438" t="s">
        <v>538</v>
      </c>
      <c r="C13" s="431"/>
      <c r="D13" s="439" t="s">
        <v>547</v>
      </c>
      <c r="E13" s="440" t="s">
        <v>539</v>
      </c>
      <c r="F13" s="750"/>
    </row>
    <row r="14" spans="1:6" ht="15.75" thickBot="1">
      <c r="A14" s="431"/>
      <c r="B14" s="441" t="s">
        <v>305</v>
      </c>
      <c r="C14" s="442" t="s">
        <v>711</v>
      </c>
      <c r="D14" s="443">
        <v>1.6</v>
      </c>
      <c r="E14" s="444">
        <f>'Tables of Values'!B3*($C$9*'Tables of Values'!C12-C15)*365</f>
        <v>0</v>
      </c>
      <c r="F14" s="750"/>
    </row>
    <row r="15" spans="1:7" ht="15.75" thickBot="1">
      <c r="A15" s="431"/>
      <c r="B15" s="445" t="s">
        <v>306</v>
      </c>
      <c r="C15" s="459"/>
      <c r="D15" s="446">
        <v>1</v>
      </c>
      <c r="E15" s="444">
        <f>C15*'Tables of Values'!B4*365</f>
        <v>0</v>
      </c>
      <c r="G15" s="753"/>
    </row>
    <row r="16" spans="1:5" ht="15">
      <c r="A16" s="431"/>
      <c r="B16" s="441" t="s">
        <v>171</v>
      </c>
      <c r="C16" s="431"/>
      <c r="D16" s="443">
        <v>2.5</v>
      </c>
      <c r="E16" s="444">
        <f>$C$9*'Tables of Values'!B5*'Tables of Values'!C14*('Tables of Values'!B14/60)*365</f>
        <v>0</v>
      </c>
    </row>
    <row r="17" spans="1:5" ht="15">
      <c r="A17" s="431"/>
      <c r="B17" s="441" t="s">
        <v>172</v>
      </c>
      <c r="C17" s="431"/>
      <c r="D17" s="443">
        <v>2.5</v>
      </c>
      <c r="E17" s="444">
        <f>$C$9*'Tables of Values'!B6*'Tables of Values'!C15*('Tables of Values'!B15/60)*365</f>
        <v>0</v>
      </c>
    </row>
    <row r="18" spans="1:5" ht="15">
      <c r="A18" s="431"/>
      <c r="B18" s="441" t="s">
        <v>173</v>
      </c>
      <c r="C18" s="431"/>
      <c r="D18" s="443">
        <v>2.5</v>
      </c>
      <c r="E18" s="444">
        <f>$C$9*'Tables of Values'!B7*'Tables of Values'!C16*('Tables of Values'!B16/60)*365</f>
        <v>0</v>
      </c>
    </row>
    <row r="19" spans="1:5" ht="15">
      <c r="A19" s="431"/>
      <c r="B19" s="447" t="s">
        <v>332</v>
      </c>
      <c r="C19" s="431"/>
      <c r="D19" s="431"/>
      <c r="E19" s="448">
        <f>SUM(E14:E18)</f>
        <v>0</v>
      </c>
    </row>
    <row r="20" spans="1:7" ht="15">
      <c r="A20" s="431"/>
      <c r="B20" s="449"/>
      <c r="C20" s="431"/>
      <c r="D20" s="431"/>
      <c r="E20" s="431"/>
      <c r="G20" s="753"/>
    </row>
    <row r="21" spans="1:5" ht="15.75" thickBot="1">
      <c r="A21" s="431"/>
      <c r="B21" s="438" t="s">
        <v>540</v>
      </c>
      <c r="C21" s="450" t="s">
        <v>541</v>
      </c>
      <c r="D21" s="450" t="s">
        <v>542</v>
      </c>
      <c r="E21" s="451" t="s">
        <v>543</v>
      </c>
    </row>
    <row r="22" spans="1:5" ht="15.75" thickBot="1">
      <c r="A22" s="431"/>
      <c r="B22" s="445" t="s">
        <v>305</v>
      </c>
      <c r="C22" s="457"/>
      <c r="D22" s="457"/>
      <c r="E22" s="444">
        <f>(C22*($C$9*'Tables of Values'!C12-C15)*365)-D22</f>
        <v>0</v>
      </c>
    </row>
    <row r="23" spans="1:5" ht="15.75" thickBot="1">
      <c r="A23" s="431"/>
      <c r="B23" s="445" t="s">
        <v>306</v>
      </c>
      <c r="C23" s="457"/>
      <c r="D23" s="457"/>
      <c r="E23" s="444">
        <f>(C23*C15*365)-D23</f>
        <v>0</v>
      </c>
    </row>
    <row r="24" spans="1:5" ht="15.75" thickBot="1">
      <c r="A24" s="431"/>
      <c r="B24" s="811" t="s">
        <v>864</v>
      </c>
      <c r="C24" s="458"/>
      <c r="D24" s="457"/>
      <c r="E24" s="444">
        <f>($C$9*C24*'Tables of Values'!C14*('Tables of Values'!B14/60)*365)-D24</f>
        <v>0</v>
      </c>
    </row>
    <row r="25" spans="1:5" ht="15.75" thickBot="1">
      <c r="A25" s="431"/>
      <c r="B25" s="811" t="s">
        <v>865</v>
      </c>
      <c r="C25" s="458"/>
      <c r="D25" s="457"/>
      <c r="E25" s="444">
        <f>($C$9*C25*'Tables of Values'!C15*('Tables of Values'!B15/60)*365)-D25</f>
        <v>0</v>
      </c>
    </row>
    <row r="26" spans="1:5" ht="15.75" thickBot="1">
      <c r="A26" s="431"/>
      <c r="B26" s="811" t="s">
        <v>866</v>
      </c>
      <c r="C26" s="458"/>
      <c r="D26" s="457"/>
      <c r="E26" s="444">
        <f>($C$9*C26*'Tables of Values'!C16*('Tables of Values'!B16/60)*365)-D26</f>
        <v>0</v>
      </c>
    </row>
    <row r="27" spans="1:5" ht="15">
      <c r="A27" s="431"/>
      <c r="B27" s="438" t="s">
        <v>332</v>
      </c>
      <c r="C27" s="431"/>
      <c r="D27" s="431"/>
      <c r="E27" s="448">
        <f>SUM(E22:E26)</f>
        <v>0</v>
      </c>
    </row>
    <row r="28" spans="1:5" ht="15">
      <c r="A28" s="431"/>
      <c r="B28" s="431"/>
      <c r="C28" s="431"/>
      <c r="D28" s="431"/>
      <c r="E28" s="431"/>
    </row>
    <row r="29" spans="1:5" ht="15">
      <c r="A29" s="431"/>
      <c r="B29" s="438" t="s">
        <v>544</v>
      </c>
      <c r="C29" s="451" t="s">
        <v>545</v>
      </c>
      <c r="D29" s="451" t="s">
        <v>546</v>
      </c>
      <c r="E29" s="431"/>
    </row>
    <row r="30" spans="1:5" ht="15">
      <c r="A30" s="431"/>
      <c r="B30" s="452" t="s">
        <v>305</v>
      </c>
      <c r="C30" s="453">
        <f>E14-E22</f>
        <v>0</v>
      </c>
      <c r="D30" s="454">
        <f aca="true" t="shared" si="0" ref="D30:D35">C30*$C$8</f>
        <v>0</v>
      </c>
      <c r="E30" s="431"/>
    </row>
    <row r="31" spans="1:6" ht="15">
      <c r="A31" s="431"/>
      <c r="B31" s="452" t="s">
        <v>306</v>
      </c>
      <c r="C31" s="453">
        <f>E15-E23</f>
        <v>0</v>
      </c>
      <c r="D31" s="454">
        <f t="shared" si="0"/>
        <v>0</v>
      </c>
      <c r="E31" s="431"/>
      <c r="F31" s="753"/>
    </row>
    <row r="32" spans="1:5" ht="15">
      <c r="A32" s="431"/>
      <c r="B32" s="452" t="s">
        <v>171</v>
      </c>
      <c r="C32" s="453">
        <f>E16-E24</f>
        <v>0</v>
      </c>
      <c r="D32" s="454">
        <f t="shared" si="0"/>
        <v>0</v>
      </c>
      <c r="E32" s="431"/>
    </row>
    <row r="33" spans="1:5" ht="15">
      <c r="A33" s="431"/>
      <c r="B33" s="452" t="s">
        <v>172</v>
      </c>
      <c r="C33" s="453">
        <f>E17-E25</f>
        <v>0</v>
      </c>
      <c r="D33" s="454">
        <f t="shared" si="0"/>
        <v>0</v>
      </c>
      <c r="E33" s="431"/>
    </row>
    <row r="34" spans="1:5" ht="15">
      <c r="A34" s="431"/>
      <c r="B34" s="452" t="s">
        <v>173</v>
      </c>
      <c r="C34" s="453">
        <f>E18-E26</f>
        <v>0</v>
      </c>
      <c r="D34" s="454">
        <f t="shared" si="0"/>
        <v>0</v>
      </c>
      <c r="E34" s="431"/>
    </row>
    <row r="35" spans="1:5" ht="15">
      <c r="A35" s="431"/>
      <c r="B35" s="438" t="s">
        <v>332</v>
      </c>
      <c r="C35" s="455">
        <f>SUM(C30:C34,C10:C11)</f>
        <v>0</v>
      </c>
      <c r="D35" s="456">
        <f t="shared" si="0"/>
        <v>0</v>
      </c>
      <c r="E35" s="431"/>
    </row>
    <row r="36" spans="1:5" ht="15">
      <c r="A36" s="431"/>
      <c r="B36" s="431"/>
      <c r="C36" s="431"/>
      <c r="D36" s="431"/>
      <c r="E36" s="431"/>
    </row>
  </sheetData>
  <sheetProtection sheet="1" objects="1" scenarios="1"/>
  <mergeCells count="5">
    <mergeCell ref="B7:E7"/>
    <mergeCell ref="B3:E3"/>
    <mergeCell ref="B4:E4"/>
    <mergeCell ref="B5:E5"/>
    <mergeCell ref="B6:E6"/>
  </mergeCells>
  <printOptions/>
  <pageMargins left="0.7" right="0.7" top="0.75" bottom="0.75" header="0.3" footer="0.3"/>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tabColor indexed="60"/>
    <pageSetUpPr fitToPage="1"/>
  </sheetPr>
  <dimension ref="A1:Z42"/>
  <sheetViews>
    <sheetView zoomScalePageLayoutView="0" workbookViewId="0" topLeftCell="A1">
      <selection activeCell="B9" sqref="B9"/>
    </sheetView>
  </sheetViews>
  <sheetFormatPr defaultColWidth="9.140625" defaultRowHeight="12.75"/>
  <cols>
    <col min="1" max="1" width="2.00390625" style="724" bestFit="1" customWidth="1"/>
    <col min="2" max="2" width="29.8515625" style="724" customWidth="1"/>
    <col min="3" max="3" width="16.140625" style="724" customWidth="1"/>
    <col min="4" max="4" width="10.8515625" style="724" customWidth="1"/>
    <col min="5" max="5" width="11.8515625" style="724" customWidth="1"/>
    <col min="6" max="6" width="14.00390625" style="724" customWidth="1"/>
    <col min="7" max="7" width="10.57421875" style="724" bestFit="1" customWidth="1"/>
    <col min="8" max="9" width="9.140625" style="724" customWidth="1"/>
    <col min="10" max="10" width="5.00390625" style="724" customWidth="1"/>
    <col min="11" max="14" width="9.140625" style="724" customWidth="1"/>
    <col min="15" max="15" width="10.57421875" style="724" customWidth="1"/>
    <col min="16" max="25" width="9.140625" style="724" customWidth="1"/>
    <col min="26" max="26" width="0" style="724" hidden="1" customWidth="1"/>
    <col min="27" max="16384" width="9.140625" style="724" customWidth="1"/>
  </cols>
  <sheetData>
    <row r="1" spans="1:13" ht="12.75">
      <c r="A1" s="81"/>
      <c r="B1" s="82" t="s">
        <v>402</v>
      </c>
      <c r="C1" s="81"/>
      <c r="D1" s="81"/>
      <c r="E1" s="81"/>
      <c r="F1" s="81"/>
      <c r="G1" s="81"/>
      <c r="H1" s="81"/>
      <c r="I1" s="81"/>
      <c r="J1" s="81"/>
      <c r="K1" s="81"/>
      <c r="L1" s="81"/>
      <c r="M1" s="81"/>
    </row>
    <row r="2" spans="1:26" ht="12.75">
      <c r="A2" s="81">
        <v>1</v>
      </c>
      <c r="B2" s="83" t="s">
        <v>561</v>
      </c>
      <c r="C2" s="81"/>
      <c r="D2" s="81"/>
      <c r="E2" s="81"/>
      <c r="F2" s="466"/>
      <c r="G2" s="81"/>
      <c r="H2" s="81"/>
      <c r="I2" s="81"/>
      <c r="J2" s="81"/>
      <c r="K2" s="81"/>
      <c r="L2" s="81"/>
      <c r="M2" s="81"/>
      <c r="Z2" s="756" t="s">
        <v>554</v>
      </c>
    </row>
    <row r="3" spans="1:26" ht="12.75">
      <c r="A3" s="81">
        <v>2</v>
      </c>
      <c r="B3" s="467" t="s">
        <v>403</v>
      </c>
      <c r="C3" s="467"/>
      <c r="D3" s="467"/>
      <c r="E3" s="81"/>
      <c r="F3" s="83" t="s">
        <v>553</v>
      </c>
      <c r="G3" s="462"/>
      <c r="H3" s="710" t="s">
        <v>800</v>
      </c>
      <c r="I3" s="81"/>
      <c r="J3" s="81"/>
      <c r="K3" s="81"/>
      <c r="L3" s="81"/>
      <c r="M3" s="81"/>
      <c r="Z3" s="756" t="s">
        <v>555</v>
      </c>
    </row>
    <row r="4" spans="1:26" ht="12.75">
      <c r="A4" s="81">
        <v>3</v>
      </c>
      <c r="B4" s="468" t="s">
        <v>552</v>
      </c>
      <c r="C4" s="469"/>
      <c r="D4" s="469"/>
      <c r="E4" s="81"/>
      <c r="F4" s="81"/>
      <c r="G4" s="81">
        <f>IF(G3="Low",12,IF(G3="Medium",25,44))</f>
        <v>44</v>
      </c>
      <c r="H4" s="83" t="s">
        <v>557</v>
      </c>
      <c r="I4" s="81"/>
      <c r="J4" s="81"/>
      <c r="K4" s="81"/>
      <c r="L4" s="81"/>
      <c r="M4" s="81"/>
      <c r="Z4" s="756" t="s">
        <v>556</v>
      </c>
    </row>
    <row r="5" spans="1:13" ht="12.75">
      <c r="A5" s="81"/>
      <c r="B5" s="81"/>
      <c r="C5" s="81"/>
      <c r="D5" s="81"/>
      <c r="E5" s="81"/>
      <c r="F5" s="81"/>
      <c r="G5" s="81"/>
      <c r="H5" s="81"/>
      <c r="I5" s="81"/>
      <c r="J5" s="81"/>
      <c r="K5" s="81"/>
      <c r="L5" s="81"/>
      <c r="M5" s="81"/>
    </row>
    <row r="6" spans="1:13" ht="15">
      <c r="A6" s="81"/>
      <c r="B6" s="470"/>
      <c r="C6" s="471" t="s">
        <v>242</v>
      </c>
      <c r="D6" s="471" t="s">
        <v>241</v>
      </c>
      <c r="E6" s="81"/>
      <c r="F6" s="81" t="s">
        <v>101</v>
      </c>
      <c r="G6" s="472">
        <f>'Water Savings'!C26</f>
        <v>0</v>
      </c>
      <c r="H6" s="81" t="s">
        <v>102</v>
      </c>
      <c r="I6" s="81"/>
      <c r="J6" s="81"/>
      <c r="K6" s="81"/>
      <c r="L6" s="81"/>
      <c r="M6" s="81"/>
    </row>
    <row r="7" spans="1:13" ht="12.75">
      <c r="A7" s="81"/>
      <c r="B7" s="470" t="s">
        <v>863</v>
      </c>
      <c r="C7" s="473" t="e">
        <f>($G$6*$G$18+$G$7*$G$19)/($G$18+$G$19)</f>
        <v>#DIV/0!</v>
      </c>
      <c r="D7" s="474">
        <v>2.5</v>
      </c>
      <c r="E7" s="81"/>
      <c r="F7" s="81" t="s">
        <v>104</v>
      </c>
      <c r="G7" s="472">
        <f>'Water Savings'!C25</f>
        <v>0</v>
      </c>
      <c r="H7" s="81" t="s">
        <v>102</v>
      </c>
      <c r="I7" s="81"/>
      <c r="J7" s="81"/>
      <c r="K7" s="81"/>
      <c r="L7" s="81"/>
      <c r="M7" s="81"/>
    </row>
    <row r="8" spans="1:13" ht="12.75">
      <c r="A8" s="81"/>
      <c r="B8" s="475" t="s">
        <v>862</v>
      </c>
      <c r="C8" s="472">
        <f>'Water Savings'!C24</f>
        <v>0</v>
      </c>
      <c r="D8" s="476">
        <v>2.5</v>
      </c>
      <c r="E8" s="81"/>
      <c r="F8" s="81" t="s">
        <v>224</v>
      </c>
      <c r="G8" s="81">
        <f>IF(G14="Y",1290,0)</f>
        <v>0</v>
      </c>
      <c r="H8" s="81" t="s">
        <v>225</v>
      </c>
      <c r="I8" s="81"/>
      <c r="J8" s="477">
        <f>G8/365</f>
        <v>0</v>
      </c>
      <c r="K8" s="81" t="s">
        <v>226</v>
      </c>
      <c r="L8" s="81"/>
      <c r="M8" s="81"/>
    </row>
    <row r="9" spans="1:15" ht="15">
      <c r="A9" s="81"/>
      <c r="B9" s="478" t="s">
        <v>559</v>
      </c>
      <c r="C9" s="479" t="e">
        <f>D9*(0.36+0.54*C8/2.5+0.1*C7/2.5)</f>
        <v>#DIV/0!</v>
      </c>
      <c r="D9" s="474">
        <f>G4*G16</f>
        <v>0</v>
      </c>
      <c r="E9" s="480"/>
      <c r="F9" s="81" t="s">
        <v>227</v>
      </c>
      <c r="G9" s="81">
        <f>IF(G15="Y",860,IF(G15="NA",0,1290))</f>
        <v>1290</v>
      </c>
      <c r="H9" s="81" t="s">
        <v>225</v>
      </c>
      <c r="I9" s="81"/>
      <c r="J9" s="477">
        <f>G9/365</f>
        <v>3.5342465753424657</v>
      </c>
      <c r="K9" s="81" t="s">
        <v>226</v>
      </c>
      <c r="L9" s="81"/>
      <c r="M9" s="81"/>
      <c r="O9" s="757"/>
    </row>
    <row r="10" spans="1:13" ht="15">
      <c r="A10" s="81"/>
      <c r="B10" s="478" t="s">
        <v>558</v>
      </c>
      <c r="C10" s="482" t="e">
        <f>$C$9+$K$11+J9*G21</f>
        <v>#DIV/0!</v>
      </c>
      <c r="D10" s="483">
        <f>$D$9+$K$10+J8*G21</f>
        <v>0</v>
      </c>
      <c r="E10" s="484"/>
      <c r="F10" s="81" t="s">
        <v>302</v>
      </c>
      <c r="G10" s="485">
        <f>IF($G$22=0,0,IF($G$25="Common",0.2*29515,0.2*12179))</f>
        <v>0</v>
      </c>
      <c r="H10" s="81" t="s">
        <v>303</v>
      </c>
      <c r="I10" s="81"/>
      <c r="J10" s="81"/>
      <c r="K10" s="485">
        <f>G10*G22/365</f>
        <v>0</v>
      </c>
      <c r="L10" s="83" t="s">
        <v>560</v>
      </c>
      <c r="M10" s="81"/>
    </row>
    <row r="11" spans="1:13" ht="12.75">
      <c r="A11" s="81"/>
      <c r="B11" s="478" t="s">
        <v>272</v>
      </c>
      <c r="C11" s="486" t="e">
        <f>C10/$B$39/60</f>
        <v>#DIV/0!</v>
      </c>
      <c r="D11" s="486">
        <f>D10/$B$39/60</f>
        <v>0</v>
      </c>
      <c r="E11" s="81"/>
      <c r="F11" s="81" t="s">
        <v>304</v>
      </c>
      <c r="G11" s="485">
        <f>IF($G$22=0,0,IF($G$23="N",$G$10,IF($G$25="Common",0.2*13661,0.2*5637)))</f>
        <v>0</v>
      </c>
      <c r="H11" s="81" t="s">
        <v>303</v>
      </c>
      <c r="I11" s="81"/>
      <c r="J11" s="81"/>
      <c r="K11" s="485">
        <f>G11*G22/365</f>
        <v>0</v>
      </c>
      <c r="L11" s="83" t="s">
        <v>560</v>
      </c>
      <c r="M11" s="81"/>
    </row>
    <row r="12" spans="1:13" ht="12.75">
      <c r="A12" s="81"/>
      <c r="B12" s="474"/>
      <c r="C12" s="474"/>
      <c r="D12" s="474"/>
      <c r="E12" s="81"/>
      <c r="F12" s="81"/>
      <c r="G12" s="485"/>
      <c r="H12" s="81"/>
      <c r="I12" s="81"/>
      <c r="J12" s="81"/>
      <c r="K12" s="485"/>
      <c r="L12" s="81"/>
      <c r="M12" s="81"/>
    </row>
    <row r="13" spans="1:13" ht="13.5" thickBot="1">
      <c r="A13" s="81"/>
      <c r="B13" s="81"/>
      <c r="C13" s="81"/>
      <c r="D13" s="81"/>
      <c r="E13" s="81"/>
      <c r="F13" s="81"/>
      <c r="G13" s="485"/>
      <c r="H13" s="81"/>
      <c r="I13" s="81"/>
      <c r="J13" s="81"/>
      <c r="K13" s="485"/>
      <c r="L13" s="81"/>
      <c r="M13" s="81"/>
    </row>
    <row r="14" spans="1:13" ht="13.5" thickBot="1">
      <c r="A14" s="81"/>
      <c r="B14" s="487" t="s">
        <v>273</v>
      </c>
      <c r="C14" s="470" t="s">
        <v>274</v>
      </c>
      <c r="D14" s="488" t="s">
        <v>242</v>
      </c>
      <c r="E14" s="489" t="s">
        <v>241</v>
      </c>
      <c r="F14" s="81"/>
      <c r="G14" s="463"/>
      <c r="H14" s="81" t="s">
        <v>82</v>
      </c>
      <c r="I14" s="81"/>
      <c r="J14" s="81"/>
      <c r="K14" s="81"/>
      <c r="L14" s="81"/>
      <c r="M14" s="81"/>
    </row>
    <row r="15" spans="1:13" ht="13.5" thickBot="1">
      <c r="A15" s="81"/>
      <c r="B15" s="490">
        <v>0.05</v>
      </c>
      <c r="C15" s="474">
        <v>0</v>
      </c>
      <c r="D15" s="491" t="e">
        <f>B15*$C$11*60</f>
        <v>#DIV/0!</v>
      </c>
      <c r="E15" s="491">
        <f>B15*$D$11*60</f>
        <v>0</v>
      </c>
      <c r="F15" s="81"/>
      <c r="G15" s="463"/>
      <c r="H15" s="81" t="s">
        <v>249</v>
      </c>
      <c r="I15" s="81"/>
      <c r="J15" s="81"/>
      <c r="K15" s="81"/>
      <c r="L15" s="81"/>
      <c r="M15" s="81"/>
    </row>
    <row r="16" spans="1:13" ht="12.75">
      <c r="A16" s="81"/>
      <c r="B16" s="490">
        <v>0.05</v>
      </c>
      <c r="C16" s="474">
        <f>C15+1</f>
        <v>1</v>
      </c>
      <c r="D16" s="491" t="e">
        <f aca="true" t="shared" si="0" ref="D16:D38">B16*$C$11*60</f>
        <v>#DIV/0!</v>
      </c>
      <c r="E16" s="491">
        <f aca="true" t="shared" si="1" ref="E16:E38">B16*$D$11*60</f>
        <v>0</v>
      </c>
      <c r="F16" s="81"/>
      <c r="G16" s="492">
        <f>'Basic Info'!C7+'Basic Info'!C8+2*'Basic Info'!C9+3*'Basic Info'!C10+4*'Basic Info'!C11</f>
        <v>0</v>
      </c>
      <c r="H16" s="81" t="s">
        <v>98</v>
      </c>
      <c r="I16" s="81"/>
      <c r="J16" s="81"/>
      <c r="K16" s="81"/>
      <c r="L16" s="81"/>
      <c r="M16" s="81"/>
    </row>
    <row r="17" spans="1:14" ht="13.5" thickBot="1">
      <c r="A17" s="81"/>
      <c r="B17" s="490">
        <v>0.05</v>
      </c>
      <c r="C17" s="474">
        <f aca="true" t="shared" si="2" ref="C17:C37">C16+1</f>
        <v>2</v>
      </c>
      <c r="D17" s="491" t="e">
        <f t="shared" si="0"/>
        <v>#DIV/0!</v>
      </c>
      <c r="E17" s="491">
        <f t="shared" si="1"/>
        <v>0</v>
      </c>
      <c r="F17" s="81"/>
      <c r="G17" s="492">
        <f>SUM('Basic Info'!C7:C11)</f>
        <v>0</v>
      </c>
      <c r="H17" s="81" t="s">
        <v>99</v>
      </c>
      <c r="I17" s="81"/>
      <c r="J17" s="481"/>
      <c r="K17" s="81"/>
      <c r="L17" s="81"/>
      <c r="M17" s="81"/>
      <c r="N17" s="725"/>
    </row>
    <row r="18" spans="1:13" ht="13.5" thickBot="1">
      <c r="A18" s="81"/>
      <c r="B18" s="490">
        <v>0.05</v>
      </c>
      <c r="C18" s="474">
        <f t="shared" si="2"/>
        <v>3</v>
      </c>
      <c r="D18" s="491" t="e">
        <f t="shared" si="0"/>
        <v>#DIV/0!</v>
      </c>
      <c r="E18" s="491">
        <f t="shared" si="1"/>
        <v>0</v>
      </c>
      <c r="F18" s="81"/>
      <c r="G18" s="72"/>
      <c r="H18" s="81" t="s">
        <v>103</v>
      </c>
      <c r="I18" s="81"/>
      <c r="J18" s="81"/>
      <c r="K18" s="72"/>
      <c r="L18" s="81" t="s">
        <v>839</v>
      </c>
      <c r="M18" s="81"/>
    </row>
    <row r="19" spans="1:13" ht="13.5" thickBot="1">
      <c r="A19" s="81"/>
      <c r="B19" s="490">
        <v>0.05</v>
      </c>
      <c r="C19" s="474">
        <f t="shared" si="2"/>
        <v>4</v>
      </c>
      <c r="D19" s="491" t="e">
        <f t="shared" si="0"/>
        <v>#DIV/0!</v>
      </c>
      <c r="E19" s="491">
        <f t="shared" si="1"/>
        <v>0</v>
      </c>
      <c r="F19" s="81"/>
      <c r="G19" s="464"/>
      <c r="H19" s="81" t="s">
        <v>105</v>
      </c>
      <c r="I19" s="81"/>
      <c r="J19" s="81"/>
      <c r="K19" s="464"/>
      <c r="L19" s="81" t="s">
        <v>840</v>
      </c>
      <c r="M19" s="81"/>
    </row>
    <row r="20" spans="1:13" ht="13.5" thickBot="1">
      <c r="A20" s="81"/>
      <c r="B20" s="490">
        <v>0.05</v>
      </c>
      <c r="C20" s="474">
        <f t="shared" si="2"/>
        <v>5</v>
      </c>
      <c r="D20" s="491" t="e">
        <f t="shared" si="0"/>
        <v>#DIV/0!</v>
      </c>
      <c r="E20" s="491">
        <f t="shared" si="1"/>
        <v>0</v>
      </c>
      <c r="F20" s="81"/>
      <c r="G20" s="81"/>
      <c r="H20" s="81"/>
      <c r="I20" s="81"/>
      <c r="J20" s="81"/>
      <c r="K20" s="81"/>
      <c r="L20" s="81"/>
      <c r="M20" s="81"/>
    </row>
    <row r="21" spans="1:13" ht="13.5" thickBot="1">
      <c r="A21" s="81"/>
      <c r="B21" s="490">
        <v>0.3</v>
      </c>
      <c r="C21" s="474">
        <f t="shared" si="2"/>
        <v>6</v>
      </c>
      <c r="D21" s="491" t="e">
        <f t="shared" si="0"/>
        <v>#DIV/0!</v>
      </c>
      <c r="E21" s="491">
        <f t="shared" si="1"/>
        <v>0</v>
      </c>
      <c r="F21" s="81"/>
      <c r="G21" s="72"/>
      <c r="H21" s="83" t="s">
        <v>152</v>
      </c>
      <c r="I21" s="81"/>
      <c r="J21" s="81"/>
      <c r="K21" s="81"/>
      <c r="L21" s="81"/>
      <c r="M21" s="81"/>
    </row>
    <row r="22" spans="1:13" ht="13.5" thickBot="1">
      <c r="A22" s="81"/>
      <c r="B22" s="490">
        <v>0.5</v>
      </c>
      <c r="C22" s="474">
        <f t="shared" si="2"/>
        <v>7</v>
      </c>
      <c r="D22" s="491" t="e">
        <f t="shared" si="0"/>
        <v>#DIV/0!</v>
      </c>
      <c r="E22" s="491">
        <f t="shared" si="1"/>
        <v>0</v>
      </c>
      <c r="F22" s="81"/>
      <c r="G22" s="72"/>
      <c r="H22" s="81" t="s">
        <v>100</v>
      </c>
      <c r="I22" s="81"/>
      <c r="J22" s="81"/>
      <c r="K22" s="81"/>
      <c r="L22" s="81"/>
      <c r="M22" s="81"/>
    </row>
    <row r="23" spans="1:13" ht="13.5" thickBot="1">
      <c r="A23" s="81"/>
      <c r="B23" s="490">
        <v>0.4</v>
      </c>
      <c r="C23" s="474">
        <f t="shared" si="2"/>
        <v>8</v>
      </c>
      <c r="D23" s="491" t="e">
        <f t="shared" si="0"/>
        <v>#DIV/0!</v>
      </c>
      <c r="E23" s="491">
        <f t="shared" si="1"/>
        <v>0</v>
      </c>
      <c r="F23" s="493"/>
      <c r="G23" s="463"/>
      <c r="H23" s="81" t="s">
        <v>249</v>
      </c>
      <c r="I23" s="81"/>
      <c r="J23" s="81"/>
      <c r="K23" s="81"/>
      <c r="L23" s="81"/>
      <c r="M23" s="81"/>
    </row>
    <row r="24" spans="1:13" ht="13.5" thickBot="1">
      <c r="A24" s="81"/>
      <c r="B24" s="490">
        <v>0.3</v>
      </c>
      <c r="C24" s="474">
        <f t="shared" si="2"/>
        <v>9</v>
      </c>
      <c r="D24" s="491" t="e">
        <f t="shared" si="0"/>
        <v>#DIV/0!</v>
      </c>
      <c r="E24" s="491">
        <f t="shared" si="1"/>
        <v>0</v>
      </c>
      <c r="F24" s="493"/>
      <c r="G24" s="494"/>
      <c r="H24" s="81"/>
      <c r="I24" s="81"/>
      <c r="J24" s="81"/>
      <c r="K24" s="81"/>
      <c r="L24" s="81"/>
      <c r="M24" s="81"/>
    </row>
    <row r="25" spans="1:13" ht="13.5" thickBot="1">
      <c r="A25" s="81"/>
      <c r="B25" s="490">
        <v>0.3</v>
      </c>
      <c r="C25" s="474">
        <f t="shared" si="2"/>
        <v>10</v>
      </c>
      <c r="D25" s="491" t="e">
        <f t="shared" si="0"/>
        <v>#DIV/0!</v>
      </c>
      <c r="E25" s="491">
        <f t="shared" si="1"/>
        <v>0</v>
      </c>
      <c r="F25" s="81"/>
      <c r="G25" s="465"/>
      <c r="H25" s="495" t="s">
        <v>195</v>
      </c>
      <c r="I25" s="81"/>
      <c r="J25" s="81"/>
      <c r="K25" s="81"/>
      <c r="L25" s="81"/>
      <c r="M25" s="81"/>
    </row>
    <row r="26" spans="1:13" ht="12.75">
      <c r="A26" s="81"/>
      <c r="B26" s="490">
        <v>0.35</v>
      </c>
      <c r="C26" s="474">
        <f t="shared" si="2"/>
        <v>11</v>
      </c>
      <c r="D26" s="491" t="e">
        <f t="shared" si="0"/>
        <v>#DIV/0!</v>
      </c>
      <c r="E26" s="491">
        <f t="shared" si="1"/>
        <v>0</v>
      </c>
      <c r="F26" s="81"/>
      <c r="G26" s="81"/>
      <c r="H26" s="81"/>
      <c r="I26" s="81"/>
      <c r="J26" s="81"/>
      <c r="K26" s="81"/>
      <c r="L26" s="81"/>
      <c r="M26" s="81"/>
    </row>
    <row r="27" spans="1:13" ht="13.5" thickBot="1">
      <c r="A27" s="81"/>
      <c r="B27" s="490">
        <v>0.4</v>
      </c>
      <c r="C27" s="474">
        <f t="shared" si="2"/>
        <v>12</v>
      </c>
      <c r="D27" s="491" t="e">
        <f t="shared" si="0"/>
        <v>#DIV/0!</v>
      </c>
      <c r="E27" s="491">
        <f t="shared" si="1"/>
        <v>0</v>
      </c>
      <c r="F27" s="81"/>
      <c r="G27" s="81"/>
      <c r="H27" s="804" t="s">
        <v>850</v>
      </c>
      <c r="I27" s="81"/>
      <c r="J27" s="81"/>
      <c r="K27" s="81"/>
      <c r="L27" s="81"/>
      <c r="M27" s="81"/>
    </row>
    <row r="28" spans="1:13" ht="13.5" thickBot="1">
      <c r="A28" s="81"/>
      <c r="B28" s="490">
        <v>0.35</v>
      </c>
      <c r="C28" s="474">
        <f t="shared" si="2"/>
        <v>13</v>
      </c>
      <c r="D28" s="491" t="e">
        <f t="shared" si="0"/>
        <v>#DIV/0!</v>
      </c>
      <c r="E28" s="491">
        <f t="shared" si="1"/>
        <v>0</v>
      </c>
      <c r="F28" s="81"/>
      <c r="G28" s="72"/>
      <c r="H28" s="81" t="s">
        <v>307</v>
      </c>
      <c r="I28" s="81"/>
      <c r="J28" s="81"/>
      <c r="K28" s="81"/>
      <c r="L28" s="161">
        <v>1.25</v>
      </c>
      <c r="M28" s="81" t="s">
        <v>309</v>
      </c>
    </row>
    <row r="29" spans="1:13" ht="13.5" thickBot="1">
      <c r="A29" s="81"/>
      <c r="B29" s="490">
        <v>0.35</v>
      </c>
      <c r="C29" s="474">
        <f t="shared" si="2"/>
        <v>14</v>
      </c>
      <c r="D29" s="491" t="e">
        <f t="shared" si="0"/>
        <v>#DIV/0!</v>
      </c>
      <c r="E29" s="491">
        <f t="shared" si="1"/>
        <v>0</v>
      </c>
      <c r="F29" s="81"/>
      <c r="G29" s="496">
        <f>G28*0.13368</f>
        <v>0</v>
      </c>
      <c r="H29" s="81" t="s">
        <v>311</v>
      </c>
      <c r="I29" s="81"/>
      <c r="J29" s="81"/>
      <c r="K29" s="81"/>
      <c r="L29" s="496">
        <f>G29/((22/7)*L28^2)</f>
        <v>0</v>
      </c>
      <c r="M29" s="81" t="s">
        <v>310</v>
      </c>
    </row>
    <row r="30" spans="1:13" ht="13.5" thickBot="1">
      <c r="A30" s="81"/>
      <c r="B30" s="490">
        <v>0.3</v>
      </c>
      <c r="C30" s="474">
        <f t="shared" si="2"/>
        <v>15</v>
      </c>
      <c r="D30" s="491" t="e">
        <f t="shared" si="0"/>
        <v>#DIV/0!</v>
      </c>
      <c r="E30" s="491">
        <f t="shared" si="1"/>
        <v>0</v>
      </c>
      <c r="F30" s="81"/>
      <c r="G30" s="497">
        <v>12.5</v>
      </c>
      <c r="H30" s="81" t="s">
        <v>354</v>
      </c>
      <c r="I30" s="81"/>
      <c r="J30" s="81"/>
      <c r="K30" s="81"/>
      <c r="L30" s="81"/>
      <c r="M30" s="81"/>
    </row>
    <row r="31" spans="1:13" ht="13.5" thickBot="1">
      <c r="A31" s="81"/>
      <c r="B31" s="490">
        <v>0.3</v>
      </c>
      <c r="C31" s="474">
        <f t="shared" si="2"/>
        <v>16</v>
      </c>
      <c r="D31" s="491" t="e">
        <f t="shared" si="0"/>
        <v>#DIV/0!</v>
      </c>
      <c r="E31" s="491">
        <f t="shared" si="1"/>
        <v>0</v>
      </c>
      <c r="F31" s="81"/>
      <c r="G31" s="496">
        <f>2*(22/7)*L28^2+(22/7)*2*L28*L29</f>
        <v>9.821428571428571</v>
      </c>
      <c r="H31" s="81" t="s">
        <v>308</v>
      </c>
      <c r="I31" s="81"/>
      <c r="J31" s="81"/>
      <c r="K31" s="808" t="s">
        <v>854</v>
      </c>
      <c r="L31" s="807" t="s">
        <v>853</v>
      </c>
      <c r="M31" s="81"/>
    </row>
    <row r="32" spans="1:13" ht="13.5" thickBot="1">
      <c r="A32" s="81"/>
      <c r="B32" s="490">
        <v>0.5</v>
      </c>
      <c r="C32" s="474">
        <f t="shared" si="2"/>
        <v>17</v>
      </c>
      <c r="D32" s="491" t="e">
        <f t="shared" si="0"/>
        <v>#DIV/0!</v>
      </c>
      <c r="E32" s="491">
        <f t="shared" si="1"/>
        <v>0</v>
      </c>
      <c r="F32" s="81"/>
      <c r="G32" s="498">
        <f>G31/G30</f>
        <v>0.7857142857142857</v>
      </c>
      <c r="H32" s="81" t="s">
        <v>220</v>
      </c>
      <c r="I32" s="81"/>
      <c r="J32" s="81"/>
      <c r="K32" s="72"/>
      <c r="L32" s="806" t="e">
        <f>1/(K32/100)</f>
        <v>#DIV/0!</v>
      </c>
      <c r="M32" s="81"/>
    </row>
    <row r="33" spans="1:13" ht="12.75">
      <c r="A33" s="81"/>
      <c r="B33" s="490">
        <v>0.5</v>
      </c>
      <c r="C33" s="474">
        <f t="shared" si="2"/>
        <v>18</v>
      </c>
      <c r="D33" s="491" t="e">
        <f t="shared" si="0"/>
        <v>#DIV/0!</v>
      </c>
      <c r="E33" s="491">
        <f t="shared" si="1"/>
        <v>0</v>
      </c>
      <c r="F33" s="81"/>
      <c r="G33" s="81"/>
      <c r="H33" s="81"/>
      <c r="I33" s="81"/>
      <c r="J33" s="81"/>
      <c r="K33" s="81"/>
      <c r="L33" s="81"/>
      <c r="M33" s="81"/>
    </row>
    <row r="34" spans="1:13" ht="12.75">
      <c r="A34" s="81"/>
      <c r="B34" s="490">
        <v>0.4</v>
      </c>
      <c r="C34" s="474">
        <f t="shared" si="2"/>
        <v>19</v>
      </c>
      <c r="D34" s="491" t="e">
        <f t="shared" si="0"/>
        <v>#DIV/0!</v>
      </c>
      <c r="E34" s="491">
        <f t="shared" si="1"/>
        <v>0</v>
      </c>
      <c r="F34" s="81"/>
      <c r="G34" s="81"/>
      <c r="H34" s="804" t="s">
        <v>852</v>
      </c>
      <c r="I34" s="81"/>
      <c r="J34" s="81"/>
      <c r="K34" s="81"/>
      <c r="L34" s="81"/>
      <c r="M34" s="81"/>
    </row>
    <row r="35" spans="1:13" ht="13.5" thickBot="1">
      <c r="A35" s="81"/>
      <c r="B35" s="490">
        <v>0.35</v>
      </c>
      <c r="C35" s="474">
        <f t="shared" si="2"/>
        <v>20</v>
      </c>
      <c r="D35" s="491" t="e">
        <f t="shared" si="0"/>
        <v>#DIV/0!</v>
      </c>
      <c r="E35" s="491">
        <f t="shared" si="1"/>
        <v>0</v>
      </c>
      <c r="F35" s="81"/>
      <c r="G35" s="81"/>
      <c r="H35" s="805" t="s">
        <v>851</v>
      </c>
      <c r="I35" s="710" t="s">
        <v>255</v>
      </c>
      <c r="J35" s="808" t="s">
        <v>521</v>
      </c>
      <c r="K35" s="807" t="s">
        <v>853</v>
      </c>
      <c r="L35" s="81"/>
      <c r="M35" s="81"/>
    </row>
    <row r="36" spans="1:13" ht="13.5" thickBot="1">
      <c r="A36" s="81"/>
      <c r="B36" s="490">
        <v>0.45</v>
      </c>
      <c r="C36" s="474">
        <f t="shared" si="2"/>
        <v>21</v>
      </c>
      <c r="D36" s="491" t="e">
        <f t="shared" si="0"/>
        <v>#DIV/0!</v>
      </c>
      <c r="E36" s="491">
        <f t="shared" si="1"/>
        <v>0</v>
      </c>
      <c r="F36" s="81"/>
      <c r="G36" s="710" t="s">
        <v>241</v>
      </c>
      <c r="H36" s="72"/>
      <c r="I36" s="72"/>
      <c r="J36" s="607">
        <f>IF(I36="Electric",0.93-0.00132*H36,IF(I36="Gas",0.62-0.0019*H36,""))</f>
      </c>
      <c r="K36" s="809" t="e">
        <f>1/J36</f>
        <v>#VALUE!</v>
      </c>
      <c r="L36" s="81"/>
      <c r="M36" s="81"/>
    </row>
    <row r="37" spans="1:13" ht="13.5" thickBot="1">
      <c r="A37" s="81"/>
      <c r="B37" s="490">
        <v>0.3</v>
      </c>
      <c r="C37" s="474">
        <f t="shared" si="2"/>
        <v>22</v>
      </c>
      <c r="D37" s="491" t="e">
        <f t="shared" si="0"/>
        <v>#DIV/0!</v>
      </c>
      <c r="E37" s="491">
        <f t="shared" si="1"/>
        <v>0</v>
      </c>
      <c r="F37" s="81"/>
      <c r="G37" s="710" t="s">
        <v>242</v>
      </c>
      <c r="H37" s="81">
        <f>H36</f>
        <v>0</v>
      </c>
      <c r="I37" s="81">
        <f>I36</f>
        <v>0</v>
      </c>
      <c r="J37" s="77"/>
      <c r="K37" s="809" t="e">
        <f>1/J37</f>
        <v>#DIV/0!</v>
      </c>
      <c r="L37" s="81"/>
      <c r="M37" s="81"/>
    </row>
    <row r="38" spans="1:13" ht="12.75">
      <c r="A38" s="81"/>
      <c r="B38" s="490">
        <v>0.05</v>
      </c>
      <c r="C38" s="474">
        <f>C37+1</f>
        <v>23</v>
      </c>
      <c r="D38" s="491" t="e">
        <f t="shared" si="0"/>
        <v>#DIV/0!</v>
      </c>
      <c r="E38" s="491">
        <f t="shared" si="1"/>
        <v>0</v>
      </c>
      <c r="F38" s="81"/>
      <c r="G38" s="81"/>
      <c r="H38" s="81"/>
      <c r="I38" s="81"/>
      <c r="J38" s="81"/>
      <c r="K38" s="81"/>
      <c r="L38" s="81"/>
      <c r="M38" s="81"/>
    </row>
    <row r="39" spans="1:13" ht="12.75">
      <c r="A39" s="81"/>
      <c r="B39" s="81">
        <f>SUM(B15:B38)</f>
        <v>6.7</v>
      </c>
      <c r="C39" s="81"/>
      <c r="D39" s="499" t="e">
        <f>SUM(D15:D38)</f>
        <v>#DIV/0!</v>
      </c>
      <c r="E39" s="499">
        <f>SUM(E15:E38)</f>
        <v>0</v>
      </c>
      <c r="F39" s="81"/>
      <c r="G39" s="81"/>
      <c r="H39" s="81"/>
      <c r="I39" s="81"/>
      <c r="J39" s="81"/>
      <c r="K39" s="81"/>
      <c r="L39" s="81"/>
      <c r="M39" s="81"/>
    </row>
    <row r="40" ht="12.75">
      <c r="D40" s="718"/>
    </row>
    <row r="41" ht="12.75">
      <c r="B41" s="754"/>
    </row>
    <row r="42" spans="2:3" ht="12.75">
      <c r="B42" s="755"/>
      <c r="C42" s="756"/>
    </row>
  </sheetData>
  <sheetProtection sheet="1"/>
  <dataValidations count="4">
    <dataValidation type="list" allowBlank="1" showInputMessage="1" showErrorMessage="1" sqref="G3">
      <formula1>$Z$2:$Z$4</formula1>
    </dataValidation>
    <dataValidation type="list" allowBlank="1" showInputMessage="1" showErrorMessage="1" sqref="G14">
      <formula1>"Y,N"</formula1>
    </dataValidation>
    <dataValidation type="list" allowBlank="1" showInputMessage="1" showErrorMessage="1" sqref="G25">
      <formula1>"Common,In-Unit"</formula1>
    </dataValidation>
    <dataValidation type="list" allowBlank="1" showInputMessage="1" showErrorMessage="1" sqref="G15 G23">
      <formula1>"Y,N, NA"</formula1>
    </dataValidation>
  </dataValidations>
  <printOptions/>
  <pageMargins left="0.7" right="0.7" top="0.75" bottom="0.75" header="0.3" footer="0.3"/>
  <pageSetup fitToHeight="1" fitToWidth="1" horizontalDpi="300" verticalDpi="300" orientation="landscape" scale="44" r:id="rId1"/>
</worksheet>
</file>

<file path=xl/worksheets/sheet9.xml><?xml version="1.0" encoding="utf-8"?>
<worksheet xmlns="http://schemas.openxmlformats.org/spreadsheetml/2006/main" xmlns:r="http://schemas.openxmlformats.org/officeDocument/2006/relationships">
  <sheetPr>
    <tabColor indexed="60"/>
  </sheetPr>
  <dimension ref="A1:V61"/>
  <sheetViews>
    <sheetView zoomScalePageLayoutView="0" workbookViewId="0" topLeftCell="A1">
      <selection activeCell="A10" sqref="A10"/>
    </sheetView>
  </sheetViews>
  <sheetFormatPr defaultColWidth="9.140625" defaultRowHeight="12.75"/>
  <cols>
    <col min="1" max="1" width="2.00390625" style="724" bestFit="1" customWidth="1"/>
    <col min="2" max="2" width="41.57421875" style="724" customWidth="1"/>
    <col min="3" max="3" width="28.57421875" style="724" customWidth="1"/>
    <col min="4" max="4" width="28.421875" style="724" customWidth="1"/>
    <col min="5" max="5" width="25.00390625" style="724" customWidth="1"/>
    <col min="6" max="6" width="11.28125" style="724" customWidth="1"/>
    <col min="7" max="7" width="11.00390625" style="724" customWidth="1"/>
    <col min="8" max="8" width="19.7109375" style="724" customWidth="1"/>
    <col min="9" max="9" width="16.140625" style="724" customWidth="1"/>
    <col min="10" max="10" width="13.00390625" style="724" customWidth="1"/>
    <col min="11" max="20" width="9.140625" style="724" customWidth="1"/>
    <col min="21" max="22" width="0" style="724" hidden="1" customWidth="1"/>
    <col min="23" max="16384" width="9.140625" style="724" customWidth="1"/>
  </cols>
  <sheetData>
    <row r="1" spans="1:12" ht="12.75">
      <c r="A1" s="81"/>
      <c r="B1" s="82" t="s">
        <v>402</v>
      </c>
      <c r="C1" s="81"/>
      <c r="D1" s="81"/>
      <c r="E1" s="81"/>
      <c r="F1" s="81"/>
      <c r="G1" s="81"/>
      <c r="H1" s="81"/>
      <c r="I1" s="81"/>
      <c r="J1" s="81"/>
      <c r="K1" s="81"/>
      <c r="L1" s="81"/>
    </row>
    <row r="2" spans="1:12" ht="12.75">
      <c r="A2" s="81">
        <v>1</v>
      </c>
      <c r="B2" s="83" t="s">
        <v>778</v>
      </c>
      <c r="C2" s="81"/>
      <c r="D2" s="81"/>
      <c r="E2" s="81"/>
      <c r="F2" s="81"/>
      <c r="G2" s="81"/>
      <c r="H2" s="81"/>
      <c r="I2" s="81"/>
      <c r="J2" s="81"/>
      <c r="K2" s="81"/>
      <c r="L2" s="81"/>
    </row>
    <row r="3" spans="1:12" ht="12.75">
      <c r="A3" s="81">
        <v>2</v>
      </c>
      <c r="B3" s="467" t="s">
        <v>403</v>
      </c>
      <c r="C3" s="495"/>
      <c r="D3" s="495"/>
      <c r="E3" s="81"/>
      <c r="F3" s="81"/>
      <c r="G3" s="81"/>
      <c r="H3" s="81"/>
      <c r="I3" s="81"/>
      <c r="J3" s="81"/>
      <c r="K3" s="81"/>
      <c r="L3" s="81"/>
    </row>
    <row r="4" spans="1:12" ht="12.75">
      <c r="A4" s="81">
        <v>3</v>
      </c>
      <c r="B4" s="469" t="s">
        <v>798</v>
      </c>
      <c r="C4" s="469"/>
      <c r="D4" s="495"/>
      <c r="E4" s="81"/>
      <c r="F4" s="81"/>
      <c r="G4" s="81"/>
      <c r="H4" s="81"/>
      <c r="I4" s="81"/>
      <c r="J4" s="81"/>
      <c r="K4" s="81"/>
      <c r="L4" s="81"/>
    </row>
    <row r="5" spans="1:12" ht="12.75">
      <c r="A5" s="81"/>
      <c r="B5" s="81"/>
      <c r="C5" s="81"/>
      <c r="D5" s="81"/>
      <c r="E5" s="81"/>
      <c r="F5" s="81"/>
      <c r="G5" s="81"/>
      <c r="H5" s="81"/>
      <c r="I5" s="81"/>
      <c r="J5" s="81"/>
      <c r="K5" s="81"/>
      <c r="L5" s="81"/>
    </row>
    <row r="6" spans="1:12" ht="14.25">
      <c r="A6" s="81"/>
      <c r="B6" s="500"/>
      <c r="C6" s="501" t="s">
        <v>242</v>
      </c>
      <c r="D6" s="501" t="s">
        <v>241</v>
      </c>
      <c r="E6" s="501" t="s">
        <v>567</v>
      </c>
      <c r="F6" s="502" t="s">
        <v>264</v>
      </c>
      <c r="G6" s="502" t="s">
        <v>265</v>
      </c>
      <c r="H6" s="501" t="s">
        <v>273</v>
      </c>
      <c r="I6" s="81"/>
      <c r="J6" s="81"/>
      <c r="K6" s="81"/>
      <c r="L6" s="81"/>
    </row>
    <row r="7" spans="1:22" ht="15.75">
      <c r="A7" s="81"/>
      <c r="B7" s="503" t="s">
        <v>320</v>
      </c>
      <c r="C7" s="504">
        <v>423</v>
      </c>
      <c r="D7" s="505">
        <f>C7/0.8</f>
        <v>528.75</v>
      </c>
      <c r="E7" s="476"/>
      <c r="F7" s="502" t="s">
        <v>266</v>
      </c>
      <c r="G7" s="502" t="s">
        <v>266</v>
      </c>
      <c r="H7" s="474"/>
      <c r="I7" s="81"/>
      <c r="J7" s="495"/>
      <c r="K7" s="81"/>
      <c r="L7" s="81"/>
      <c r="U7" s="724" t="s">
        <v>366</v>
      </c>
      <c r="V7" s="724" t="s">
        <v>187</v>
      </c>
    </row>
    <row r="8" spans="1:22" ht="15.75">
      <c r="A8" s="81"/>
      <c r="B8" s="506" t="s">
        <v>321</v>
      </c>
      <c r="C8" s="507">
        <f>C7*'DHW Demand'!$G$17</f>
        <v>0</v>
      </c>
      <c r="D8" s="508">
        <f>D7*'DHW Demand'!$G$17</f>
        <v>0</v>
      </c>
      <c r="E8" s="474"/>
      <c r="F8" s="509"/>
      <c r="G8" s="509"/>
      <c r="H8" s="474"/>
      <c r="I8" s="81"/>
      <c r="J8" s="81"/>
      <c r="K8" s="81"/>
      <c r="L8" s="81"/>
      <c r="U8" s="724" t="s">
        <v>373</v>
      </c>
      <c r="V8" s="724" t="s">
        <v>188</v>
      </c>
    </row>
    <row r="9" spans="1:12" s="759" customFormat="1" ht="16.5" thickBot="1">
      <c r="A9" s="495"/>
      <c r="B9" s="510" t="s">
        <v>322</v>
      </c>
      <c r="C9" s="511" t="e">
        <f>C8*1000/('Basic Info'!$C$15)/365/$D$58</f>
        <v>#DIV/0!</v>
      </c>
      <c r="D9" s="511" t="e">
        <f>D8*1000/('Basic Info'!$C$15)/365/$D$58</f>
        <v>#DIV/0!</v>
      </c>
      <c r="E9" s="512" t="s">
        <v>568</v>
      </c>
      <c r="F9" s="513">
        <v>1</v>
      </c>
      <c r="G9" s="513">
        <v>0</v>
      </c>
      <c r="H9" s="490" t="s">
        <v>189</v>
      </c>
      <c r="I9" s="495"/>
      <c r="J9" s="495"/>
      <c r="K9" s="514" t="s">
        <v>167</v>
      </c>
      <c r="L9" s="515"/>
    </row>
    <row r="10" spans="1:12" ht="18.75" customHeight="1" thickBot="1">
      <c r="A10" s="81"/>
      <c r="B10" s="506" t="s">
        <v>323</v>
      </c>
      <c r="C10" s="516">
        <f>IF(I10="Electric",604,IF(I10="Gas","Enter as Internal Energy Source",0))</f>
        <v>0</v>
      </c>
      <c r="D10" s="516">
        <f>IF(I10="Electric",604,IF(I10="Gas","Enter as Internal Energy Source",0))</f>
        <v>0</v>
      </c>
      <c r="E10" s="512"/>
      <c r="F10" s="517"/>
      <c r="G10" s="517"/>
      <c r="H10" s="474"/>
      <c r="I10" s="546"/>
      <c r="J10" s="518" t="s">
        <v>562</v>
      </c>
      <c r="K10" s="519">
        <f>IF(I10="Gas",45,0)</f>
        <v>0</v>
      </c>
      <c r="L10" s="520" t="s">
        <v>365</v>
      </c>
    </row>
    <row r="11" spans="1:12" ht="15.75">
      <c r="A11" s="81"/>
      <c r="B11" s="521" t="s">
        <v>190</v>
      </c>
      <c r="C11" s="522">
        <f>IF(I10="Electric",C10*'DHW Demand'!$G$17,IF(I10="Gas","2126 BTUH per Apt",0))</f>
        <v>0</v>
      </c>
      <c r="D11" s="522">
        <f>IF(I10="Electric",D10*'DHW Demand'!$G$17,IF(I10="Gas","2126 BTUH per Apt",0))</f>
        <v>0</v>
      </c>
      <c r="E11" s="512"/>
      <c r="F11" s="517"/>
      <c r="G11" s="517"/>
      <c r="H11" s="474"/>
      <c r="I11" s="81"/>
      <c r="J11" s="81"/>
      <c r="K11" s="523"/>
      <c r="L11" s="523"/>
    </row>
    <row r="12" spans="1:12" s="759" customFormat="1" ht="16.5" thickBot="1">
      <c r="A12" s="495"/>
      <c r="B12" s="510" t="s">
        <v>324</v>
      </c>
      <c r="C12" s="511" t="e">
        <f>IF(I10="Gas",0,C11*1000/('Basic Info'!$C$15)/365/$D$58)</f>
        <v>#DIV/0!</v>
      </c>
      <c r="D12" s="511" t="e">
        <f>IF(I10="Gas",0,D11*1000/('Basic Info'!$C$15)/365/$D$58)</f>
        <v>#DIV/0!</v>
      </c>
      <c r="E12" s="512" t="s">
        <v>568</v>
      </c>
      <c r="F12" s="513">
        <f>IF(I10="Electric",0.4,IF(I10="Gas",0.3,0))</f>
        <v>0</v>
      </c>
      <c r="G12" s="513">
        <f>IF(I10="Electric",0.3,IF(I10="Gas",0.2,0))</f>
        <v>0</v>
      </c>
      <c r="H12" s="490" t="s">
        <v>189</v>
      </c>
      <c r="I12" s="495"/>
      <c r="J12" s="495"/>
      <c r="K12" s="524"/>
      <c r="L12" s="524"/>
    </row>
    <row r="13" spans="1:12" s="759" customFormat="1" ht="16.5" thickBot="1">
      <c r="A13" s="495"/>
      <c r="B13" s="506" t="s">
        <v>191</v>
      </c>
      <c r="C13" s="505">
        <f>IF(I13&gt;0,164,0)</f>
        <v>0</v>
      </c>
      <c r="D13" s="505">
        <f>IF(I13&gt;0,206,0)</f>
        <v>0</v>
      </c>
      <c r="E13" s="512"/>
      <c r="F13" s="517"/>
      <c r="G13" s="517"/>
      <c r="H13" s="509"/>
      <c r="I13" s="525">
        <f>'DHW Demand'!G21</f>
        <v>0</v>
      </c>
      <c r="J13" s="495" t="s">
        <v>152</v>
      </c>
      <c r="K13" s="524"/>
      <c r="L13" s="524"/>
    </row>
    <row r="14" spans="1:12" s="759" customFormat="1" ht="15.75">
      <c r="A14" s="495"/>
      <c r="B14" s="506" t="s">
        <v>192</v>
      </c>
      <c r="C14" s="516">
        <f>C13*I13</f>
        <v>0</v>
      </c>
      <c r="D14" s="526">
        <f>D13*I13</f>
        <v>0</v>
      </c>
      <c r="E14" s="512"/>
      <c r="F14" s="517"/>
      <c r="G14" s="517"/>
      <c r="H14" s="509"/>
      <c r="I14" s="495"/>
      <c r="J14" s="495"/>
      <c r="K14" s="524"/>
      <c r="L14" s="524"/>
    </row>
    <row r="15" spans="1:12" s="759" customFormat="1" ht="15.75">
      <c r="A15" s="495"/>
      <c r="B15" s="510" t="s">
        <v>193</v>
      </c>
      <c r="C15" s="511" t="e">
        <f>C14*1000/('Basic Info'!$C$15)/365/$D$58</f>
        <v>#DIV/0!</v>
      </c>
      <c r="D15" s="511" t="e">
        <f>D14*1000/('Basic Info'!$C$15)/365/$D$58</f>
        <v>#DIV/0!</v>
      </c>
      <c r="E15" s="512" t="s">
        <v>568</v>
      </c>
      <c r="F15" s="527">
        <v>0.6</v>
      </c>
      <c r="G15" s="527">
        <v>0.15</v>
      </c>
      <c r="H15" s="490" t="s">
        <v>189</v>
      </c>
      <c r="I15" s="495"/>
      <c r="J15" s="495"/>
      <c r="K15" s="524"/>
      <c r="L15" s="524"/>
    </row>
    <row r="16" spans="1:12" s="759" customFormat="1" ht="16.5" thickBot="1">
      <c r="A16" s="495"/>
      <c r="B16" s="506" t="s">
        <v>194</v>
      </c>
      <c r="C16" s="505">
        <f>IF('DHW Demand'!$G$25="In-Unit",57,0)</f>
        <v>0</v>
      </c>
      <c r="D16" s="505">
        <f>IF('DHW Demand'!$G$25="In-Unit",81,0)</f>
        <v>0</v>
      </c>
      <c r="E16" s="512"/>
      <c r="F16" s="517"/>
      <c r="G16" s="517"/>
      <c r="H16" s="509"/>
      <c r="I16" s="495"/>
      <c r="J16" s="495"/>
      <c r="K16" s="524"/>
      <c r="L16" s="524"/>
    </row>
    <row r="17" spans="1:12" s="759" customFormat="1" ht="16.5" thickBot="1">
      <c r="A17" s="495"/>
      <c r="B17" s="506" t="s">
        <v>154</v>
      </c>
      <c r="C17" s="505">
        <f>C16*I18</f>
        <v>0</v>
      </c>
      <c r="D17" s="505">
        <f>D16*I18</f>
        <v>0</v>
      </c>
      <c r="E17" s="512"/>
      <c r="F17" s="517"/>
      <c r="G17" s="517"/>
      <c r="H17" s="528"/>
      <c r="I17" s="497">
        <f>IF('DHW Demand'!G25="Common",2.423,1)</f>
        <v>1</v>
      </c>
      <c r="J17" s="495" t="s">
        <v>163</v>
      </c>
      <c r="K17" s="524"/>
      <c r="L17" s="524"/>
    </row>
    <row r="18" spans="1:12" s="759" customFormat="1" ht="16.5" thickBot="1">
      <c r="A18" s="495"/>
      <c r="B18" s="510" t="s">
        <v>165</v>
      </c>
      <c r="C18" s="511" t="e">
        <f>(C17)*1000/('Basic Info'!$C$15)/365/$D$58</f>
        <v>#DIV/0!</v>
      </c>
      <c r="D18" s="511" t="e">
        <f>(D17)*1000/('Basic Info'!$C$15)/365/$D$58</f>
        <v>#DIV/0!</v>
      </c>
      <c r="E18" s="512" t="s">
        <v>568</v>
      </c>
      <c r="F18" s="513">
        <f>IF('DHW Demand'!$G$25="Common","NA",0.8)</f>
        <v>0.8</v>
      </c>
      <c r="G18" s="513">
        <f>IF('DHW Demand'!$G$25="Common","NA",0)</f>
        <v>0</v>
      </c>
      <c r="H18" s="490" t="s">
        <v>189</v>
      </c>
      <c r="I18" s="525">
        <f>'DHW Demand'!G22</f>
        <v>0</v>
      </c>
      <c r="J18" s="495" t="s">
        <v>151</v>
      </c>
      <c r="K18" s="524"/>
      <c r="L18" s="524"/>
    </row>
    <row r="19" spans="1:14" s="759" customFormat="1" ht="16.5" customHeight="1" thickBot="1">
      <c r="A19" s="495"/>
      <c r="B19" s="506" t="s">
        <v>156</v>
      </c>
      <c r="C19" s="505" t="e">
        <f>IF('DHW Demand'!$G$25="Common",0,IF($I$20="Electric",$I$19*(418+139*$I$21)*$I$17,$I$19*(38+12.7*$I$21)*$I$17))</f>
        <v>#DIV/0!</v>
      </c>
      <c r="D19" s="505" t="e">
        <f>IF('DHW Demand'!$G$25="Common",0,IF($I$20="Electric",$I$19*(418+139*$I$21)*$I$17,$I$19*(38+12.7*$I$21)*$I$17))</f>
        <v>#DIV/0!</v>
      </c>
      <c r="E19" s="512"/>
      <c r="F19" s="517"/>
      <c r="G19" s="517"/>
      <c r="H19" s="509"/>
      <c r="I19" s="546"/>
      <c r="J19" s="495" t="s">
        <v>155</v>
      </c>
      <c r="K19" s="514" t="s">
        <v>164</v>
      </c>
      <c r="L19" s="524"/>
      <c r="M19" s="762"/>
      <c r="N19" s="762"/>
    </row>
    <row r="20" spans="1:14" s="759" customFormat="1" ht="16.5" thickBot="1">
      <c r="A20" s="495"/>
      <c r="B20" s="510" t="s">
        <v>166</v>
      </c>
      <c r="C20" s="511" t="e">
        <f>(C19)*1000/('Basic Info'!$C$15)/365/$D$58</f>
        <v>#DIV/0!</v>
      </c>
      <c r="D20" s="511" t="e">
        <f>(D19)*1000/('Basic Info'!$C$15)/365/$D$58</f>
        <v>#DIV/0!</v>
      </c>
      <c r="E20" s="512" t="s">
        <v>568</v>
      </c>
      <c r="F20" s="527">
        <f>IF('DHW Demand'!$G$25="Common","NA",IF($I$20="Gas",1,0.15))</f>
        <v>0.15</v>
      </c>
      <c r="G20" s="527">
        <f>IF('DHW Demand'!$G$25="Common","NA",IF($I$20="Gas",0,0.05))</f>
        <v>0.05</v>
      </c>
      <c r="H20" s="490" t="s">
        <v>189</v>
      </c>
      <c r="I20" s="546"/>
      <c r="J20" s="492" t="s">
        <v>197</v>
      </c>
      <c r="K20" s="519">
        <f>IF(I20="Gas",(26.5+8.8*I21)*I17,0)</f>
        <v>0</v>
      </c>
      <c r="L20" s="529" t="s">
        <v>365</v>
      </c>
      <c r="M20" s="762"/>
      <c r="N20" s="762"/>
    </row>
    <row r="21" spans="1:12" s="759" customFormat="1" ht="16.5" thickBot="1">
      <c r="A21" s="495"/>
      <c r="B21" s="506" t="s">
        <v>196</v>
      </c>
      <c r="C21" s="505">
        <f>IF('DHW Demand'!$G$25="Common",138,0)</f>
        <v>0</v>
      </c>
      <c r="D21" s="505">
        <f>IF('DHW Demand'!$G$25="Common",196,0)</f>
        <v>0</v>
      </c>
      <c r="E21" s="509"/>
      <c r="F21" s="517"/>
      <c r="G21" s="517"/>
      <c r="H21" s="509"/>
      <c r="I21" s="530" t="e">
        <f>('Basic Info'!C7*1+'Basic Info'!C8*1+'Basic Info'!C9*2+'Basic Info'!C10*3+'Basic Info'!C11*4)/SUM('Basic Info'!C7:C11)</f>
        <v>#DIV/0!</v>
      </c>
      <c r="J21" s="495" t="s">
        <v>160</v>
      </c>
      <c r="K21" s="531"/>
      <c r="L21" s="531"/>
    </row>
    <row r="22" spans="1:12" s="759" customFormat="1" ht="16.5" thickBot="1">
      <c r="A22" s="495"/>
      <c r="B22" s="506" t="s">
        <v>153</v>
      </c>
      <c r="C22" s="505">
        <f>C21*I18</f>
        <v>0</v>
      </c>
      <c r="D22" s="505">
        <f>D21*I18</f>
        <v>0</v>
      </c>
      <c r="E22" s="509"/>
      <c r="F22" s="517"/>
      <c r="G22" s="517"/>
      <c r="H22" s="509"/>
      <c r="I22" s="546"/>
      <c r="J22" s="492" t="s">
        <v>248</v>
      </c>
      <c r="K22" s="495"/>
      <c r="L22" s="531"/>
    </row>
    <row r="23" spans="1:12" s="759" customFormat="1" ht="15.75">
      <c r="A23" s="495"/>
      <c r="B23" s="510" t="s">
        <v>161</v>
      </c>
      <c r="C23" s="532" t="e">
        <f>(C22)*1000/I22/365/$C$58</f>
        <v>#DIV/0!</v>
      </c>
      <c r="D23" s="532" t="e">
        <f>(D22)*1000/I22/365/$C$58</f>
        <v>#DIV/0!</v>
      </c>
      <c r="E23" s="490" t="str">
        <f>IF('DHW Demand'!G25="Common","Laundry Equipment 1","NA")</f>
        <v>NA</v>
      </c>
      <c r="F23" s="513" t="str">
        <f>IF('DHW Demand'!$G$25="Common",0.8,"NA")</f>
        <v>NA</v>
      </c>
      <c r="G23" s="513" t="str">
        <f>IF('DHW Demand'!$G$25="Common",0,"NA")</f>
        <v>NA</v>
      </c>
      <c r="H23" s="490" t="s">
        <v>198</v>
      </c>
      <c r="I23" s="81"/>
      <c r="J23" s="492"/>
      <c r="K23" s="531"/>
      <c r="L23" s="531"/>
    </row>
    <row r="24" spans="1:12" s="759" customFormat="1" ht="15.75">
      <c r="A24" s="495"/>
      <c r="B24" s="506" t="s">
        <v>157</v>
      </c>
      <c r="C24" s="505" t="e">
        <f>IF('DHW Demand'!$G$25="In-Unit",0,IF($I$20="Electric",$I$19*(418+139*$I$21)*I17,$I$19*(38+12.7*$I$21)*I17))</f>
        <v>#DIV/0!</v>
      </c>
      <c r="D24" s="505" t="e">
        <f>IF('DHW Demand'!$G$25="In-Unit",0,IF($I$20="Electric",$I$19*(418+139*$I$21)*I17,$I$19*(38+12.7*$I$21)*I17))</f>
        <v>#DIV/0!</v>
      </c>
      <c r="E24" s="509"/>
      <c r="F24" s="517"/>
      <c r="G24" s="517"/>
      <c r="H24" s="509"/>
      <c r="I24" s="495"/>
      <c r="J24" s="495"/>
      <c r="K24" s="495"/>
      <c r="L24" s="495"/>
    </row>
    <row r="25" spans="1:12" s="759" customFormat="1" ht="15.75">
      <c r="A25" s="495"/>
      <c r="B25" s="510" t="s">
        <v>162</v>
      </c>
      <c r="C25" s="532" t="e">
        <f>(C24)*1000/I22/365/$C$58</f>
        <v>#DIV/0!</v>
      </c>
      <c r="D25" s="532" t="e">
        <f>(D24)*1000/I22/365/$C$58</f>
        <v>#DIV/0!</v>
      </c>
      <c r="E25" s="490" t="str">
        <f>IF('DHW Demand'!G25="Common","Laundry Equipment 2","NA")</f>
        <v>NA</v>
      </c>
      <c r="F25" s="527">
        <f>IF('DHW Demand'!$G$25="In-Unit","NA",IF($I$20="Gas",1,0.15))</f>
        <v>0.15</v>
      </c>
      <c r="G25" s="527">
        <f>IF('DHW Demand'!$G$25="In-Unit","NA",IF($I$20="Gas",0,0.05))</f>
        <v>0.05</v>
      </c>
      <c r="H25" s="490" t="s">
        <v>198</v>
      </c>
      <c r="I25" s="495"/>
      <c r="J25" s="495"/>
      <c r="K25" s="495"/>
      <c r="L25" s="495"/>
    </row>
    <row r="26" spans="1:12" ht="28.5">
      <c r="A26" s="81"/>
      <c r="B26" s="533" t="str">
        <f>IF('DHW Demand'!G25="Common","Common Dryer, BTU/h (total for all dryers)","In-Unit Dryer, BTU/h               (PER dryer)")</f>
        <v>In-Unit Dryer, BTU/h               (PER dryer)</v>
      </c>
      <c r="C26" s="534">
        <f>IF('DHW Demand'!$G$25="Common",$K$20*$I$19*100000/365/C58,$K$20*100000/365/Appliances!$D$58)</f>
        <v>0</v>
      </c>
      <c r="D26" s="534">
        <f>IF('DHW Demand'!$G$25="Common",$K$20*$I$19*100000/365/C58,$K$20*100000/365/Appliances!$D$58)</f>
        <v>0</v>
      </c>
      <c r="E26" s="490" t="str">
        <f>IF(I20="Gas","Internal Energy Source","NA")</f>
        <v>NA</v>
      </c>
      <c r="F26" s="527" t="str">
        <f>IF($I$20="Gas",0.1,"NA")</f>
        <v>NA</v>
      </c>
      <c r="G26" s="527" t="str">
        <f>IF($I$20="Gas",0.05,"NA")</f>
        <v>NA</v>
      </c>
      <c r="H26" s="490" t="str">
        <f>IF('DHW Demand'!G25="Common","T24 EQP WD","T24 DAY EQP WD")</f>
        <v>T24 DAY EQP WD</v>
      </c>
      <c r="I26" s="535"/>
      <c r="J26" s="495"/>
      <c r="K26" s="81"/>
      <c r="L26" s="81"/>
    </row>
    <row r="27" spans="1:12" s="759" customFormat="1" ht="16.5" thickBot="1">
      <c r="A27" s="495"/>
      <c r="B27" s="536" t="s">
        <v>325</v>
      </c>
      <c r="C27" s="537">
        <v>1.05</v>
      </c>
      <c r="D27" s="537">
        <v>1.05</v>
      </c>
      <c r="E27" s="474"/>
      <c r="F27" s="517"/>
      <c r="G27" s="517"/>
      <c r="H27" s="474"/>
      <c r="I27" s="495"/>
      <c r="J27" s="495"/>
      <c r="K27" s="495"/>
      <c r="L27" s="495"/>
    </row>
    <row r="28" spans="1:12" s="759" customFormat="1" ht="16.5" thickBot="1">
      <c r="A28" s="495"/>
      <c r="B28" s="510" t="s">
        <v>326</v>
      </c>
      <c r="C28" s="538">
        <f>C27*1000/365/$D$58</f>
        <v>0.4959848842701938</v>
      </c>
      <c r="D28" s="538">
        <f>D27*1000/365/$D$58</f>
        <v>0.4959848842701938</v>
      </c>
      <c r="E28" s="490" t="s">
        <v>199</v>
      </c>
      <c r="F28" s="513">
        <v>0.9</v>
      </c>
      <c r="G28" s="513">
        <v>0.1</v>
      </c>
      <c r="H28" s="490" t="s">
        <v>189</v>
      </c>
      <c r="I28" s="539" t="s">
        <v>581</v>
      </c>
      <c r="J28" s="497">
        <f>'Reporting Summary'!D20</f>
        <v>0</v>
      </c>
      <c r="K28" s="495"/>
      <c r="L28" s="495"/>
    </row>
    <row r="29" spans="1:12" ht="16.5" thickBot="1">
      <c r="A29" s="81"/>
      <c r="B29" s="510" t="s">
        <v>678</v>
      </c>
      <c r="C29" s="540">
        <v>0.2</v>
      </c>
      <c r="D29" s="540">
        <v>0.2</v>
      </c>
      <c r="E29" s="490" t="s">
        <v>200</v>
      </c>
      <c r="F29" s="513">
        <v>1</v>
      </c>
      <c r="G29" s="513">
        <v>0</v>
      </c>
      <c r="H29" s="490" t="s">
        <v>198</v>
      </c>
      <c r="I29" s="541" t="s">
        <v>566</v>
      </c>
      <c r="J29" s="72"/>
      <c r="K29" s="81"/>
      <c r="L29" s="81"/>
    </row>
    <row r="30" spans="1:12" ht="16.5" thickBot="1">
      <c r="A30" s="81"/>
      <c r="B30" s="510" t="s">
        <v>201</v>
      </c>
      <c r="C30" s="532" t="e">
        <f>I32*1000/J29/365/$C$58</f>
        <v>#DIV/0!</v>
      </c>
      <c r="D30" s="532" t="e">
        <f>I31*1000/J29/365/$C$58</f>
        <v>#VALUE!</v>
      </c>
      <c r="E30" s="490" t="s">
        <v>202</v>
      </c>
      <c r="F30" s="513">
        <v>0.1</v>
      </c>
      <c r="G30" s="513">
        <v>0</v>
      </c>
      <c r="H30" s="490" t="s">
        <v>198</v>
      </c>
      <c r="I30" s="541" t="s">
        <v>565</v>
      </c>
      <c r="J30" s="81">
        <f>IF(J28=0,"",IF(J28&lt;7,"Hydraulic",IF(J28&lt;21,"Geared Traction","Gearless Traction")))</f>
      </c>
      <c r="K30" s="81"/>
      <c r="L30" s="81"/>
    </row>
    <row r="31" spans="1:12" ht="16.5" thickBot="1">
      <c r="A31" s="81"/>
      <c r="B31" s="510" t="s">
        <v>203</v>
      </c>
      <c r="C31" s="542">
        <v>1.5</v>
      </c>
      <c r="D31" s="542">
        <v>1.5</v>
      </c>
      <c r="E31" s="490" t="s">
        <v>204</v>
      </c>
      <c r="F31" s="513">
        <v>1</v>
      </c>
      <c r="G31" s="513">
        <v>0</v>
      </c>
      <c r="H31" s="490" t="s">
        <v>198</v>
      </c>
      <c r="I31" s="497" t="str">
        <f>IF(J30="Hydraulic",IF('Reporting Summary'!I31&lt;7,1910,IF('Reporting Summary'!I31&lt;21,2150,IF('Reporting Summary'!I31&lt;51,2940,4120))),"SG, Section 3.11")</f>
        <v>SG, Section 3.11</v>
      </c>
      <c r="J31" s="83" t="s">
        <v>563</v>
      </c>
      <c r="K31" s="81"/>
      <c r="L31" s="81"/>
    </row>
    <row r="32" spans="1:13" ht="16.5" thickBot="1">
      <c r="A32" s="81"/>
      <c r="B32" s="510" t="s">
        <v>679</v>
      </c>
      <c r="C32" s="542">
        <v>0.5</v>
      </c>
      <c r="D32" s="542">
        <v>0.5</v>
      </c>
      <c r="E32" s="543" t="s">
        <v>677</v>
      </c>
      <c r="F32" s="495"/>
      <c r="G32" s="495"/>
      <c r="H32" s="81"/>
      <c r="I32" s="72"/>
      <c r="J32" s="83" t="s">
        <v>564</v>
      </c>
      <c r="K32" s="81"/>
      <c r="L32" s="81"/>
      <c r="M32" s="81"/>
    </row>
    <row r="33" spans="1:10" ht="45">
      <c r="A33" s="81"/>
      <c r="B33" s="544" t="s">
        <v>271</v>
      </c>
      <c r="C33" s="545" t="s">
        <v>205</v>
      </c>
      <c r="D33" s="545" t="s">
        <v>206</v>
      </c>
      <c r="F33" s="759"/>
      <c r="G33" s="759"/>
      <c r="I33" s="760"/>
      <c r="J33" s="761"/>
    </row>
    <row r="34" spans="1:4" ht="12.75">
      <c r="A34" s="81"/>
      <c r="B34" s="474">
        <v>1</v>
      </c>
      <c r="C34" s="490">
        <v>0.1</v>
      </c>
      <c r="D34" s="490">
        <v>0.05</v>
      </c>
    </row>
    <row r="35" spans="1:4" ht="12.75">
      <c r="A35" s="81"/>
      <c r="B35" s="474">
        <v>2</v>
      </c>
      <c r="C35" s="490">
        <v>0.1</v>
      </c>
      <c r="D35" s="490">
        <v>0.05</v>
      </c>
    </row>
    <row r="36" spans="1:4" ht="12.75">
      <c r="A36" s="81"/>
      <c r="B36" s="474">
        <v>3</v>
      </c>
      <c r="C36" s="490">
        <v>0.1</v>
      </c>
      <c r="D36" s="490">
        <v>0.05</v>
      </c>
    </row>
    <row r="37" spans="1:4" ht="12.75">
      <c r="A37" s="81"/>
      <c r="B37" s="474">
        <v>4</v>
      </c>
      <c r="C37" s="490">
        <v>0.1</v>
      </c>
      <c r="D37" s="490">
        <v>0.05</v>
      </c>
    </row>
    <row r="38" spans="1:4" ht="12.75">
      <c r="A38" s="81"/>
      <c r="B38" s="474">
        <v>5</v>
      </c>
      <c r="C38" s="490">
        <v>0.1</v>
      </c>
      <c r="D38" s="490">
        <v>0.05</v>
      </c>
    </row>
    <row r="39" spans="1:4" ht="12.75">
      <c r="A39" s="81"/>
      <c r="B39" s="474">
        <v>6</v>
      </c>
      <c r="C39" s="490">
        <v>0.3</v>
      </c>
      <c r="D39" s="490">
        <v>0.05</v>
      </c>
    </row>
    <row r="40" spans="1:4" ht="12.75">
      <c r="A40" s="81"/>
      <c r="B40" s="474">
        <v>7</v>
      </c>
      <c r="C40" s="490">
        <v>0.45</v>
      </c>
      <c r="D40" s="490">
        <v>0.05</v>
      </c>
    </row>
    <row r="41" spans="1:4" ht="12.75">
      <c r="A41" s="81"/>
      <c r="B41" s="474">
        <v>8</v>
      </c>
      <c r="C41" s="490">
        <v>0.45</v>
      </c>
      <c r="D41" s="490">
        <v>0.05</v>
      </c>
    </row>
    <row r="42" spans="1:4" ht="12.75">
      <c r="A42" s="81"/>
      <c r="B42" s="474">
        <v>9</v>
      </c>
      <c r="C42" s="490">
        <v>0.45</v>
      </c>
      <c r="D42" s="490">
        <v>0.5</v>
      </c>
    </row>
    <row r="43" spans="1:4" ht="12.75">
      <c r="A43" s="81"/>
      <c r="B43" s="474">
        <v>10</v>
      </c>
      <c r="C43" s="490">
        <v>0.45</v>
      </c>
      <c r="D43" s="490">
        <v>0.5</v>
      </c>
    </row>
    <row r="44" spans="1:4" ht="12.75">
      <c r="A44" s="81"/>
      <c r="B44" s="474">
        <v>11</v>
      </c>
      <c r="C44" s="490">
        <v>0.3</v>
      </c>
      <c r="D44" s="490">
        <v>0.5</v>
      </c>
    </row>
    <row r="45" spans="1:4" ht="12.75">
      <c r="A45" s="81"/>
      <c r="B45" s="474">
        <v>12</v>
      </c>
      <c r="C45" s="490">
        <v>0.3</v>
      </c>
      <c r="D45" s="490">
        <v>0.5</v>
      </c>
    </row>
    <row r="46" spans="1:4" ht="12.75">
      <c r="A46" s="81"/>
      <c r="B46" s="474">
        <v>13</v>
      </c>
      <c r="C46" s="490">
        <v>0.3</v>
      </c>
      <c r="D46" s="490">
        <v>0.3</v>
      </c>
    </row>
    <row r="47" spans="1:4" ht="12.75">
      <c r="A47" s="81"/>
      <c r="B47" s="474">
        <v>14</v>
      </c>
      <c r="C47" s="490">
        <v>0.3</v>
      </c>
      <c r="D47" s="490">
        <v>0.5</v>
      </c>
    </row>
    <row r="48" spans="1:4" ht="12.75">
      <c r="A48" s="81"/>
      <c r="B48" s="474">
        <v>15</v>
      </c>
      <c r="C48" s="490">
        <v>0.3</v>
      </c>
      <c r="D48" s="490">
        <v>0.5</v>
      </c>
    </row>
    <row r="49" spans="1:4" ht="12.75">
      <c r="A49" s="81"/>
      <c r="B49" s="474">
        <v>16</v>
      </c>
      <c r="C49" s="490">
        <v>0.3</v>
      </c>
      <c r="D49" s="490">
        <v>0.5</v>
      </c>
    </row>
    <row r="50" spans="1:4" ht="12.75">
      <c r="A50" s="81"/>
      <c r="B50" s="474">
        <v>17</v>
      </c>
      <c r="C50" s="490">
        <v>0.3</v>
      </c>
      <c r="D50" s="490">
        <v>0.5</v>
      </c>
    </row>
    <row r="51" spans="1:4" ht="12.75">
      <c r="A51" s="81"/>
      <c r="B51" s="474">
        <v>18</v>
      </c>
      <c r="C51" s="490">
        <v>0.3</v>
      </c>
      <c r="D51" s="490">
        <v>0.5</v>
      </c>
    </row>
    <row r="52" spans="1:4" ht="12.75">
      <c r="A52" s="81"/>
      <c r="B52" s="474">
        <v>19</v>
      </c>
      <c r="C52" s="490">
        <v>0.6</v>
      </c>
      <c r="D52" s="490">
        <v>0.35</v>
      </c>
    </row>
    <row r="53" spans="1:4" ht="12.75">
      <c r="A53" s="81"/>
      <c r="B53" s="474">
        <v>20</v>
      </c>
      <c r="C53" s="490">
        <v>0.8</v>
      </c>
      <c r="D53" s="490">
        <v>0.05</v>
      </c>
    </row>
    <row r="54" spans="1:4" ht="12.75">
      <c r="A54" s="81"/>
      <c r="B54" s="474">
        <v>21</v>
      </c>
      <c r="C54" s="490">
        <v>0.9</v>
      </c>
      <c r="D54" s="490">
        <v>0.05</v>
      </c>
    </row>
    <row r="55" spans="1:4" ht="12.75">
      <c r="A55" s="81"/>
      <c r="B55" s="474">
        <v>22</v>
      </c>
      <c r="C55" s="490">
        <v>0.8</v>
      </c>
      <c r="D55" s="490">
        <v>0.05</v>
      </c>
    </row>
    <row r="56" spans="1:4" ht="12.75">
      <c r="A56" s="81"/>
      <c r="B56" s="474">
        <v>23</v>
      </c>
      <c r="C56" s="490">
        <v>0.6</v>
      </c>
      <c r="D56" s="490">
        <v>0.05</v>
      </c>
    </row>
    <row r="57" spans="1:4" ht="12.75">
      <c r="A57" s="81"/>
      <c r="B57" s="474">
        <v>24</v>
      </c>
      <c r="C57" s="490">
        <v>0.3</v>
      </c>
      <c r="D57" s="490">
        <v>0.05</v>
      </c>
    </row>
    <row r="58" spans="1:4" ht="12.75">
      <c r="A58" s="81"/>
      <c r="B58" s="474" t="s">
        <v>332</v>
      </c>
      <c r="C58" s="474">
        <f>SUM(C34:C57)</f>
        <v>9</v>
      </c>
      <c r="D58" s="474">
        <f>SUM(D34:D57)</f>
        <v>5.799999999999998</v>
      </c>
    </row>
    <row r="59" spans="1:13" ht="12.75">
      <c r="A59" s="81"/>
      <c r="B59" s="81"/>
      <c r="C59" s="81"/>
      <c r="D59" s="81"/>
      <c r="E59" s="81"/>
      <c r="F59" s="81"/>
      <c r="G59" s="81"/>
      <c r="H59" s="81"/>
      <c r="I59" s="81"/>
      <c r="J59" s="81"/>
      <c r="K59" s="81"/>
      <c r="L59" s="81"/>
      <c r="M59" s="81"/>
    </row>
    <row r="60" ht="12.75">
      <c r="B60" s="758"/>
    </row>
    <row r="61" ht="12.75">
      <c r="B61" s="758"/>
    </row>
  </sheetData>
  <sheetProtection sheet="1" objects="1" scenarios="1" formatCells="0" insertColumns="0" insertRows="0"/>
  <dataValidations count="1">
    <dataValidation type="list" allowBlank="1" showInputMessage="1" showErrorMessage="1" sqref="I20 I10">
      <formula1>$U$7:$U$8</formula1>
    </dataValidation>
  </dataValidation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NYSERDA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administrator</cp:lastModifiedBy>
  <cp:lastPrinted>2011-06-10T19:17:33Z</cp:lastPrinted>
  <dcterms:created xsi:type="dcterms:W3CDTF">2007-11-19T22:02:39Z</dcterms:created>
  <dcterms:modified xsi:type="dcterms:W3CDTF">2012-02-22T17:02:50Z</dcterms:modified>
  <cp:category/>
  <cp:version/>
  <cp:contentType/>
  <cp:contentStatus/>
</cp:coreProperties>
</file>